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Default Extension="wmf" ContentType="image/x-wmf"/>
  <Override PartName="/xl/charts/chart3.xml" ContentType="application/vnd.openxmlformats-officedocument.drawingml.chart+xml"/>
  <Override PartName="/xl/drawings/drawing4.xml" ContentType="application/vnd.openxmlformats-officedocument.drawing+xml"/>
  <Default Extension="jpeg" ContentType="image/jpeg"/>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DieseArbeitsmappe"/>
  <bookViews>
    <workbookView xWindow="0" yWindow="0" windowWidth="20475" windowHeight="15360" activeTab="1"/>
  </bookViews>
  <sheets>
    <sheet name="Solarwärme" sheetId="8" r:id="rId1"/>
    <sheet name="Solarstrom" sheetId="5" r:id="rId2"/>
    <sheet name="Auslegung Stromspeicher" sheetId="9" r:id="rId3"/>
    <sheet name="Energiewende" sheetId="10" r:id="rId4"/>
    <sheet name="Tabelle1" sheetId="1" r:id="rId5"/>
    <sheet name="Daten" sheetId="11" r:id="rId6"/>
  </sheets>
  <externalReferences>
    <externalReference r:id="rId7"/>
    <externalReference r:id="rId8"/>
  </externalReferences>
  <definedNames>
    <definedName name="_xlnm._FilterDatabase" localSheetId="5" hidden="1">Daten!$S$2:$AY$2</definedName>
    <definedName name="_xlnm._FilterDatabase" localSheetId="1" hidden="1">Solarstrom!#REF!</definedName>
    <definedName name="Bonus1">Solarstrom!#REF!</definedName>
    <definedName name="Bonusjahre" localSheetId="1">Solarstrom!#REF!</definedName>
    <definedName name="Bonusjahre">Solarstrom!#REF!</definedName>
    <definedName name="Bonustermine" localSheetId="0">[1]Solarstrom!$AS$116:$AS$123</definedName>
    <definedName name="Bonustermine">Solarstrom!#REF!</definedName>
    <definedName name="_xlnm.Print_Area" localSheetId="2">'Auslegung Stromspeicher'!$B$1:$G$26</definedName>
    <definedName name="_xlnm.Print_Area" localSheetId="3">Energiewende!$A$1:$G$71</definedName>
    <definedName name="_xlnm.Print_Area" localSheetId="1">Solarstrom!$A$1:$R$141</definedName>
    <definedName name="_xlnm.Print_Area" localSheetId="0">Solarwärme!$A$1:$L$72</definedName>
    <definedName name="Liste1" localSheetId="0">Solarwärme!$S$15:$S$20</definedName>
    <definedName name="Liste1">[2]Solarwärme!$S$15:$S$20</definedName>
    <definedName name="Liste11" localSheetId="0">[1]Solarstrom!#REF!</definedName>
    <definedName name="Liste11">Solarstrom!#REF!</definedName>
    <definedName name="Liste12" localSheetId="0">[1]Solarstrom!$R$56:$R$96</definedName>
    <definedName name="Liste12">Solarstrom!$R$56:$R$78</definedName>
    <definedName name="Liste2">Solarwärme!$T$15:$T$20</definedName>
    <definedName name="Liste3">Solarwärme!$U$15:$U$20</definedName>
    <definedName name="Liste4">Solarwärme!$V$15:$V$20</definedName>
    <definedName name="Liste5">Solarwärme!$W$15:$W$20</definedName>
    <definedName name="liste6">Solarwärme!$S$29:$S$42</definedName>
    <definedName name="liste7">Solarwärme!$S$26:$S$42</definedName>
    <definedName name="ListePakete">Solarwärme!$S$29:$S$42</definedName>
    <definedName name="PV_Anlage" localSheetId="0">[1]Solarstrom!$BB$41:$BN$41</definedName>
    <definedName name="PV_Anlage">Solarstrom!#REF!</definedName>
    <definedName name="Solarspeichersysteme">Solarstrom!#REF!</definedName>
    <definedName name="Solarstromsysteme">Solarstrom!#REF!</definedName>
    <definedName name="solver_eng" localSheetId="1" hidden="1">1</definedName>
    <definedName name="solver_neg" localSheetId="1" hidden="1">1</definedName>
    <definedName name="solver_num" localSheetId="1" hidden="1">0</definedName>
    <definedName name="solver_opt" localSheetId="1" hidden="1">Solarstrom!#REF!</definedName>
    <definedName name="solver_typ" localSheetId="1" hidden="1">1</definedName>
    <definedName name="solver_val" localSheetId="1" hidden="1">0</definedName>
    <definedName name="solver_ver" localSheetId="1" hidden="1">3</definedName>
    <definedName name="Verbrauch_kWh">Solarstrom!#REF!</definedName>
    <definedName name="Z_6E862D37_A111_4CC1_BABC_57EBBEA158E4_.wvu.Cols" localSheetId="1" hidden="1">Solarstrom!$S:$S</definedName>
    <definedName name="Z_6E862D37_A111_4CC1_BABC_57EBBEA158E4_.wvu.Cols" localSheetId="0" hidden="1">Solarwärme!$N:$N</definedName>
    <definedName name="Z_6E862D37_A111_4CC1_BABC_57EBBEA158E4_.wvu.PrintArea" localSheetId="1" hidden="1">Solarstrom!$A$1:$X$84</definedName>
    <definedName name="Z_6E862D37_A111_4CC1_BABC_57EBBEA158E4_.wvu.PrintArea" localSheetId="0" hidden="1">Solarwärme!$A$28:$R$71</definedName>
    <definedName name="Z_71387B19_28CF_4348_BE17_BBB01F3BAB7A_.wvu.PrintArea" localSheetId="0" hidden="1">Solarwärme!$A$28:$R$68</definedName>
  </definedNames>
  <calcPr calcId="125725" concurrentCalc="0"/>
</workbook>
</file>

<file path=xl/calcChain.xml><?xml version="1.0" encoding="utf-8"?>
<calcChain xmlns="http://schemas.openxmlformats.org/spreadsheetml/2006/main">
  <c r="AB5" i="1"/>
  <c r="AC6"/>
  <c r="M35" i="5"/>
  <c r="AC8" i="1"/>
  <c r="AD22"/>
  <c r="AC7"/>
  <c r="AE22"/>
  <c r="G10"/>
  <c r="X15"/>
  <c r="Y15"/>
  <c r="Y16"/>
  <c r="AD30"/>
  <c r="E55" i="5"/>
  <c r="AD20" i="1"/>
  <c r="AD26"/>
  <c r="AD28"/>
  <c r="AD32"/>
  <c r="AE30"/>
  <c r="AE26"/>
  <c r="AE20"/>
  <c r="AE28"/>
  <c r="AE32"/>
  <c r="AD34"/>
  <c r="AE34"/>
  <c r="AD36"/>
  <c r="X5"/>
  <c r="X8"/>
  <c r="M43" i="5"/>
  <c r="M45"/>
  <c r="E66"/>
  <c r="AJ18" i="1"/>
  <c r="AK18"/>
  <c r="AJ19"/>
  <c r="AK19"/>
  <c r="AJ20"/>
  <c r="AK20"/>
  <c r="AJ21"/>
  <c r="AK21"/>
  <c r="AO21"/>
  <c r="G84" i="5"/>
  <c r="M47"/>
  <c r="AJ15" i="1"/>
  <c r="AJ22"/>
  <c r="AM15"/>
  <c r="AM18"/>
  <c r="AM19"/>
  <c r="AM20"/>
  <c r="AM21"/>
  <c r="AL22"/>
  <c r="AK22"/>
  <c r="AJ23"/>
  <c r="AM22"/>
  <c r="AL23"/>
  <c r="AK23"/>
  <c r="AJ24"/>
  <c r="AM23"/>
  <c r="AL24"/>
  <c r="AK24"/>
  <c r="AJ25"/>
  <c r="AM24"/>
  <c r="AL25"/>
  <c r="AK25"/>
  <c r="AO25"/>
  <c r="G85" i="5"/>
  <c r="AJ26" i="1"/>
  <c r="AM25"/>
  <c r="AL26"/>
  <c r="AK26"/>
  <c r="AJ27"/>
  <c r="AM26"/>
  <c r="AL27"/>
  <c r="AK27"/>
  <c r="AJ28"/>
  <c r="AM27"/>
  <c r="AL28"/>
  <c r="AK28"/>
  <c r="AJ29"/>
  <c r="AM28"/>
  <c r="AL29"/>
  <c r="AK29"/>
  <c r="AO29"/>
  <c r="G86" i="5"/>
  <c r="AJ30" i="1"/>
  <c r="AM29"/>
  <c r="AL30"/>
  <c r="AK30"/>
  <c r="AJ31"/>
  <c r="AM30"/>
  <c r="AL31"/>
  <c r="AK31"/>
  <c r="AJ32"/>
  <c r="AM31"/>
  <c r="AL32"/>
  <c r="AK32"/>
  <c r="AJ33"/>
  <c r="AM32"/>
  <c r="AL33"/>
  <c r="AK33"/>
  <c r="AO33"/>
  <c r="G87" i="5"/>
  <c r="AJ34" i="1"/>
  <c r="AM33"/>
  <c r="AL34"/>
  <c r="AK34"/>
  <c r="AJ35"/>
  <c r="AM34"/>
  <c r="AL35"/>
  <c r="AK35"/>
  <c r="AJ36"/>
  <c r="AM35"/>
  <c r="AL36"/>
  <c r="AK36"/>
  <c r="AJ37"/>
  <c r="AM36"/>
  <c r="AL37"/>
  <c r="AK37"/>
  <c r="AO37"/>
  <c r="G88" i="5"/>
  <c r="AM37" i="1"/>
  <c r="AJ38"/>
  <c r="AL38"/>
  <c r="AK38"/>
  <c r="AM38"/>
  <c r="AJ39"/>
  <c r="AL39"/>
  <c r="AK39"/>
  <c r="AM39"/>
  <c r="AJ40"/>
  <c r="AL40"/>
  <c r="AK40"/>
  <c r="AM40"/>
  <c r="AJ41"/>
  <c r="AN41"/>
  <c r="AL41"/>
  <c r="AK41"/>
  <c r="AO41"/>
  <c r="G89" i="5"/>
  <c r="AM41" i="1"/>
  <c r="AJ42"/>
  <c r="AL42"/>
  <c r="AK42"/>
  <c r="AM42"/>
  <c r="AJ43"/>
  <c r="AL43"/>
  <c r="AK43"/>
  <c r="AM43"/>
  <c r="AJ44"/>
  <c r="AL44"/>
  <c r="AK44"/>
  <c r="AM44"/>
  <c r="AJ45"/>
  <c r="AL45"/>
  <c r="AK45"/>
  <c r="AO45"/>
  <c r="G90" i="5"/>
  <c r="AM45" i="1"/>
  <c r="AJ46"/>
  <c r="AL46"/>
  <c r="AK46"/>
  <c r="AM46"/>
  <c r="AJ47"/>
  <c r="AL47"/>
  <c r="AK47"/>
  <c r="AM47"/>
  <c r="AJ48"/>
  <c r="AL48"/>
  <c r="AK48"/>
  <c r="AM48"/>
  <c r="AJ49"/>
  <c r="AL49"/>
  <c r="AK49"/>
  <c r="AO49"/>
  <c r="G91" i="5"/>
  <c r="AM49" i="1"/>
  <c r="AJ50"/>
  <c r="AL50"/>
  <c r="AK50"/>
  <c r="AM50"/>
  <c r="AJ51"/>
  <c r="AL51"/>
  <c r="AK51"/>
  <c r="AM51"/>
  <c r="AJ52"/>
  <c r="AL52"/>
  <c r="AK52"/>
  <c r="AM52"/>
  <c r="AJ53"/>
  <c r="AL53"/>
  <c r="AK53"/>
  <c r="AO53"/>
  <c r="G92" i="5"/>
  <c r="AM53" i="1"/>
  <c r="AJ54"/>
  <c r="AL54"/>
  <c r="AK54"/>
  <c r="AM54"/>
  <c r="AJ55"/>
  <c r="AL55"/>
  <c r="AK55"/>
  <c r="AM55"/>
  <c r="AJ56"/>
  <c r="AL56"/>
  <c r="AK56"/>
  <c r="AM56"/>
  <c r="AJ57"/>
  <c r="AL57"/>
  <c r="AK57"/>
  <c r="AO57"/>
  <c r="G93" i="5"/>
  <c r="AM57" i="1"/>
  <c r="AJ58"/>
  <c r="AL58"/>
  <c r="AK58"/>
  <c r="AM58"/>
  <c r="AJ59"/>
  <c r="AL59"/>
  <c r="AK59"/>
  <c r="AM59"/>
  <c r="AJ60"/>
  <c r="AL60"/>
  <c r="AK60"/>
  <c r="AM60"/>
  <c r="AJ61"/>
  <c r="AL61"/>
  <c r="AK61"/>
  <c r="AO61"/>
  <c r="G94" i="5"/>
  <c r="AM61" i="1"/>
  <c r="AJ62"/>
  <c r="AL62"/>
  <c r="AK62"/>
  <c r="AM62"/>
  <c r="AJ63"/>
  <c r="AL63"/>
  <c r="AK63"/>
  <c r="AM63"/>
  <c r="AJ64"/>
  <c r="AL64"/>
  <c r="AK64"/>
  <c r="AM64"/>
  <c r="AJ65"/>
  <c r="AL65"/>
  <c r="AK65"/>
  <c r="AO65"/>
  <c r="G95" i="5"/>
  <c r="AM65" i="1"/>
  <c r="AJ66"/>
  <c r="AL66"/>
  <c r="AK66"/>
  <c r="AM66"/>
  <c r="AJ67"/>
  <c r="AL67"/>
  <c r="AK67"/>
  <c r="AM67"/>
  <c r="AJ68"/>
  <c r="AL68"/>
  <c r="AK68"/>
  <c r="AM68"/>
  <c r="AJ69"/>
  <c r="AL69"/>
  <c r="AK69"/>
  <c r="AO69"/>
  <c r="G96" i="5"/>
  <c r="AM69" i="1"/>
  <c r="AJ70"/>
  <c r="AL70"/>
  <c r="AK70"/>
  <c r="AM70"/>
  <c r="AJ71"/>
  <c r="AL71"/>
  <c r="AK71"/>
  <c r="AM71"/>
  <c r="AJ72"/>
  <c r="AL72"/>
  <c r="AK72"/>
  <c r="AM72"/>
  <c r="AJ73"/>
  <c r="AL73"/>
  <c r="AK73"/>
  <c r="AO73"/>
  <c r="G97" i="5"/>
  <c r="AM73" i="1"/>
  <c r="AJ74"/>
  <c r="AL74"/>
  <c r="AK74"/>
  <c r="AM74"/>
  <c r="AJ75"/>
  <c r="AL75"/>
  <c r="AK75"/>
  <c r="AM75"/>
  <c r="AJ76"/>
  <c r="AL76"/>
  <c r="AK76"/>
  <c r="AM76"/>
  <c r="AJ77"/>
  <c r="AL77"/>
  <c r="AK77"/>
  <c r="AO77"/>
  <c r="G98" i="5"/>
  <c r="AM77" i="1"/>
  <c r="AJ78"/>
  <c r="AL78"/>
  <c r="AK78"/>
  <c r="AM78"/>
  <c r="AJ79"/>
  <c r="AL79"/>
  <c r="AK79"/>
  <c r="AM79"/>
  <c r="AJ80"/>
  <c r="AL80"/>
  <c r="AK80"/>
  <c r="AM80"/>
  <c r="AJ81"/>
  <c r="AL81"/>
  <c r="AK81"/>
  <c r="AO81"/>
  <c r="G99" i="5"/>
  <c r="AM81" i="1"/>
  <c r="AJ82"/>
  <c r="AL82"/>
  <c r="AK82"/>
  <c r="AM82"/>
  <c r="AJ83"/>
  <c r="AL83"/>
  <c r="AK83"/>
  <c r="AM83"/>
  <c r="AJ84"/>
  <c r="AL84"/>
  <c r="AK84"/>
  <c r="AM84"/>
  <c r="AJ85"/>
  <c r="AL85"/>
  <c r="AK85"/>
  <c r="AO85"/>
  <c r="G100" i="5"/>
  <c r="AM85" i="1"/>
  <c r="AJ86"/>
  <c r="AL86"/>
  <c r="AK86"/>
  <c r="AM86"/>
  <c r="AJ87"/>
  <c r="AL87"/>
  <c r="AK87"/>
  <c r="AM87"/>
  <c r="AJ88"/>
  <c r="AL88"/>
  <c r="AK88"/>
  <c r="AM88"/>
  <c r="AJ89"/>
  <c r="AL89"/>
  <c r="AK89"/>
  <c r="AO89"/>
  <c r="G101" i="5"/>
  <c r="AM89" i="1"/>
  <c r="AJ90"/>
  <c r="AL90"/>
  <c r="AK90"/>
  <c r="AM90"/>
  <c r="AJ91"/>
  <c r="AL91"/>
  <c r="AK91"/>
  <c r="AM91"/>
  <c r="AJ92"/>
  <c r="AL92"/>
  <c r="AK92"/>
  <c r="AM92"/>
  <c r="AJ93"/>
  <c r="AL93"/>
  <c r="AK93"/>
  <c r="AO93"/>
  <c r="G102" i="5"/>
  <c r="AM93" i="1"/>
  <c r="AJ94"/>
  <c r="AL94"/>
  <c r="AK94"/>
  <c r="AM94"/>
  <c r="AJ95"/>
  <c r="AL95"/>
  <c r="AK95"/>
  <c r="AM95"/>
  <c r="AJ96"/>
  <c r="AL96"/>
  <c r="AK96"/>
  <c r="AM96"/>
  <c r="AJ97"/>
  <c r="AL97"/>
  <c r="AK97"/>
  <c r="AO97"/>
  <c r="G103" i="5"/>
  <c r="G109"/>
  <c r="E68"/>
  <c r="AL18" i="1"/>
  <c r="AL19"/>
  <c r="AL20"/>
  <c r="AL21"/>
  <c r="AP21"/>
  <c r="E84" i="5"/>
  <c r="AP25" i="1"/>
  <c r="E85" i="5"/>
  <c r="AP29" i="1"/>
  <c r="E86" i="5"/>
  <c r="AP33" i="1"/>
  <c r="E87" i="5"/>
  <c r="AP37" i="1"/>
  <c r="E88" i="5"/>
  <c r="AP41" i="1"/>
  <c r="E89" i="5"/>
  <c r="AP45" i="1"/>
  <c r="E90" i="5"/>
  <c r="AP49" i="1"/>
  <c r="E91" i="5"/>
  <c r="AP53" i="1"/>
  <c r="E92" i="5"/>
  <c r="AP57" i="1"/>
  <c r="E93" i="5"/>
  <c r="AP61" i="1"/>
  <c r="E94" i="5"/>
  <c r="AP65" i="1"/>
  <c r="E95" i="5"/>
  <c r="AP69" i="1"/>
  <c r="E96" i="5"/>
  <c r="AP73" i="1"/>
  <c r="E97" i="5"/>
  <c r="AP77" i="1"/>
  <c r="E98" i="5"/>
  <c r="AP81" i="1"/>
  <c r="E99" i="5"/>
  <c r="AP85" i="1"/>
  <c r="E100" i="5"/>
  <c r="AP89" i="1"/>
  <c r="E101" i="5"/>
  <c r="AP93" i="1"/>
  <c r="E102" i="5"/>
  <c r="AP97" i="1"/>
  <c r="E103" i="5"/>
  <c r="E109"/>
  <c r="E70"/>
  <c r="BH11" i="1"/>
  <c r="E57" i="5"/>
  <c r="BJ11" i="1"/>
  <c r="I35" i="5"/>
  <c r="I55"/>
  <c r="BH12" i="1"/>
  <c r="BJ10"/>
  <c r="BJ12"/>
  <c r="BH13"/>
  <c r="BJ13"/>
  <c r="BH14"/>
  <c r="BJ14"/>
  <c r="BJ16"/>
  <c r="BG17"/>
  <c r="BJ17"/>
  <c r="BG18"/>
  <c r="BJ18"/>
  <c r="BG19"/>
  <c r="BJ19"/>
  <c r="BG20"/>
  <c r="BJ20"/>
  <c r="BG21"/>
  <c r="BJ21"/>
  <c r="BG22"/>
  <c r="BJ22"/>
  <c r="BG23"/>
  <c r="BJ23"/>
  <c r="BG24"/>
  <c r="BJ24"/>
  <c r="BG25"/>
  <c r="BJ25"/>
  <c r="BG26"/>
  <c r="BJ26"/>
  <c r="BG27"/>
  <c r="BJ27"/>
  <c r="BG28"/>
  <c r="BJ28"/>
  <c r="BG29"/>
  <c r="BJ29"/>
  <c r="BG30"/>
  <c r="BJ30"/>
  <c r="BG31"/>
  <c r="BJ31"/>
  <c r="BG32"/>
  <c r="BJ32"/>
  <c r="BG33"/>
  <c r="BJ33"/>
  <c r="BG34"/>
  <c r="BJ34"/>
  <c r="BG35"/>
  <c r="BJ35"/>
  <c r="BJ36"/>
  <c r="E72" i="5"/>
  <c r="A17" i="1"/>
  <c r="B17"/>
  <c r="A83" i="5"/>
  <c r="A84"/>
  <c r="AX17" i="1"/>
  <c r="AY17"/>
  <c r="AU15"/>
  <c r="BD17"/>
  <c r="H10"/>
  <c r="H16"/>
  <c r="H57"/>
  <c r="H61"/>
  <c r="H87"/>
  <c r="H105"/>
  <c r="M10"/>
  <c r="H7"/>
  <c r="J2"/>
  <c r="L2"/>
  <c r="M2"/>
  <c r="L10"/>
  <c r="L11"/>
  <c r="L6"/>
  <c r="N2"/>
  <c r="I10"/>
  <c r="H3"/>
  <c r="J3"/>
  <c r="K3"/>
  <c r="I11"/>
  <c r="L3"/>
  <c r="M3"/>
  <c r="I3"/>
  <c r="K10"/>
  <c r="H5"/>
  <c r="J10"/>
  <c r="H4"/>
  <c r="I4"/>
  <c r="J4"/>
  <c r="K4"/>
  <c r="J11"/>
  <c r="L4"/>
  <c r="M4"/>
  <c r="H6"/>
  <c r="I5"/>
  <c r="J5"/>
  <c r="M5"/>
  <c r="J6"/>
  <c r="M6"/>
  <c r="M8"/>
  <c r="M55" i="5"/>
  <c r="BC17" i="1"/>
  <c r="K84" i="5"/>
  <c r="K83"/>
  <c r="BM2" i="1"/>
  <c r="O12"/>
  <c r="BK13"/>
  <c r="AC11"/>
  <c r="AF11"/>
  <c r="AE14"/>
  <c r="M57" i="5"/>
  <c r="BN4" i="1"/>
  <c r="BN5"/>
  <c r="AF12"/>
  <c r="AE15"/>
  <c r="BN2"/>
  <c r="BO4"/>
  <c r="BN6"/>
  <c r="BM9"/>
  <c r="BM4"/>
  <c r="BK12"/>
  <c r="P12"/>
  <c r="BL13"/>
  <c r="AF15"/>
  <c r="BO2"/>
  <c r="BL12"/>
  <c r="BR16"/>
  <c r="BK14"/>
  <c r="BK16"/>
  <c r="BO5"/>
  <c r="BL14"/>
  <c r="BL16"/>
  <c r="Q12"/>
  <c r="BM13"/>
  <c r="BM7"/>
  <c r="BM8"/>
  <c r="BN7"/>
  <c r="BM14"/>
  <c r="BM16"/>
  <c r="R12"/>
  <c r="BN13"/>
  <c r="BN14"/>
  <c r="BN16"/>
  <c r="S12"/>
  <c r="BO13"/>
  <c r="BN8"/>
  <c r="BO14"/>
  <c r="BO16"/>
  <c r="T12"/>
  <c r="BP13"/>
  <c r="BP14"/>
  <c r="BP16"/>
  <c r="BQ16"/>
  <c r="M83" i="5"/>
  <c r="AV15" i="1"/>
  <c r="AW15"/>
  <c r="AX15"/>
  <c r="AX16"/>
  <c r="AY16"/>
  <c r="BD16"/>
  <c r="BC16"/>
  <c r="BF16"/>
  <c r="O83" i="5"/>
  <c r="A18" i="1"/>
  <c r="B18"/>
  <c r="BR17"/>
  <c r="BK17"/>
  <c r="BL17"/>
  <c r="BM17"/>
  <c r="BN17"/>
  <c r="BO17"/>
  <c r="BP17"/>
  <c r="BQ17"/>
  <c r="M84" i="5"/>
  <c r="BF17" i="1"/>
  <c r="O84" i="5"/>
  <c r="A19" i="1"/>
  <c r="B19"/>
  <c r="A85" i="5"/>
  <c r="AX18" i="1"/>
  <c r="AY18"/>
  <c r="BD18"/>
  <c r="BC18"/>
  <c r="K85" i="5"/>
  <c r="BR18" i="1"/>
  <c r="BK18"/>
  <c r="BL18"/>
  <c r="BM18"/>
  <c r="BN18"/>
  <c r="BO18"/>
  <c r="BP18"/>
  <c r="BQ18"/>
  <c r="M85" i="5"/>
  <c r="BF18" i="1"/>
  <c r="O85" i="5"/>
  <c r="A20" i="1"/>
  <c r="B20"/>
  <c r="A86" i="5"/>
  <c r="AX19" i="1"/>
  <c r="AY19"/>
  <c r="BD19"/>
  <c r="BC19"/>
  <c r="K86" i="5"/>
  <c r="BR19" i="1"/>
  <c r="BK19"/>
  <c r="BL19"/>
  <c r="BM19"/>
  <c r="BN19"/>
  <c r="BO19"/>
  <c r="BP19"/>
  <c r="BQ19"/>
  <c r="M86" i="5"/>
  <c r="BF19" i="1"/>
  <c r="O86" i="5"/>
  <c r="A21" i="1"/>
  <c r="B21"/>
  <c r="A87" i="5"/>
  <c r="AX20" i="1"/>
  <c r="AY20"/>
  <c r="BD20"/>
  <c r="BC20"/>
  <c r="K87" i="5"/>
  <c r="BR20" i="1"/>
  <c r="BK20"/>
  <c r="BL20"/>
  <c r="BM20"/>
  <c r="BN20"/>
  <c r="BO20"/>
  <c r="BP20"/>
  <c r="BQ20"/>
  <c r="M87" i="5"/>
  <c r="BF20" i="1"/>
  <c r="O87" i="5"/>
  <c r="A22" i="1"/>
  <c r="B22"/>
  <c r="A88" i="5"/>
  <c r="AX21" i="1"/>
  <c r="AY21"/>
  <c r="BD21"/>
  <c r="BC21"/>
  <c r="K88" i="5"/>
  <c r="BR21" i="1"/>
  <c r="BK21"/>
  <c r="BL21"/>
  <c r="BM21"/>
  <c r="BN21"/>
  <c r="BO21"/>
  <c r="BP21"/>
  <c r="BQ21"/>
  <c r="M88" i="5"/>
  <c r="BF21" i="1"/>
  <c r="O88" i="5"/>
  <c r="A23" i="1"/>
  <c r="B23"/>
  <c r="A89" i="5"/>
  <c r="AX22" i="1"/>
  <c r="AY22"/>
  <c r="BD22"/>
  <c r="BC22"/>
  <c r="K89" i="5"/>
  <c r="BR22" i="1"/>
  <c r="BK22"/>
  <c r="BL22"/>
  <c r="BM22"/>
  <c r="BN22"/>
  <c r="BO22"/>
  <c r="BP22"/>
  <c r="BQ22"/>
  <c r="M89" i="5"/>
  <c r="BF22" i="1"/>
  <c r="O89" i="5"/>
  <c r="A24" i="1"/>
  <c r="B24"/>
  <c r="A90" i="5"/>
  <c r="AX23" i="1"/>
  <c r="AY23"/>
  <c r="BD23"/>
  <c r="BC23"/>
  <c r="K90" i="5"/>
  <c r="BR23" i="1"/>
  <c r="BK23"/>
  <c r="BL23"/>
  <c r="BM23"/>
  <c r="BN23"/>
  <c r="BO23"/>
  <c r="BP23"/>
  <c r="BQ23"/>
  <c r="M90" i="5"/>
  <c r="BF23" i="1"/>
  <c r="O90" i="5"/>
  <c r="A25" i="1"/>
  <c r="B25"/>
  <c r="A91" i="5"/>
  <c r="AX24" i="1"/>
  <c r="AY24"/>
  <c r="BD24"/>
  <c r="BC24"/>
  <c r="K91" i="5"/>
  <c r="BR24" i="1"/>
  <c r="BK24"/>
  <c r="BL24"/>
  <c r="BM24"/>
  <c r="BN24"/>
  <c r="BO24"/>
  <c r="BP24"/>
  <c r="BQ24"/>
  <c r="M91" i="5"/>
  <c r="BF24" i="1"/>
  <c r="O91" i="5"/>
  <c r="A26" i="1"/>
  <c r="B26"/>
  <c r="A92" i="5"/>
  <c r="AX25" i="1"/>
  <c r="AY25"/>
  <c r="BD25"/>
  <c r="BC25"/>
  <c r="K92" i="5"/>
  <c r="BR25" i="1"/>
  <c r="BK25"/>
  <c r="BL25"/>
  <c r="BM25"/>
  <c r="BN25"/>
  <c r="BO25"/>
  <c r="BP25"/>
  <c r="BQ25"/>
  <c r="M92" i="5"/>
  <c r="BF25" i="1"/>
  <c r="O92" i="5"/>
  <c r="A27" i="1"/>
  <c r="B27"/>
  <c r="A93" i="5"/>
  <c r="AX26" i="1"/>
  <c r="BD26"/>
  <c r="BC26"/>
  <c r="K93" i="5"/>
  <c r="BR26" i="1"/>
  <c r="BK26"/>
  <c r="BL26"/>
  <c r="BM26"/>
  <c r="BN26"/>
  <c r="BO26"/>
  <c r="BP26"/>
  <c r="BQ26"/>
  <c r="M93" i="5"/>
  <c r="BF26" i="1"/>
  <c r="O93" i="5"/>
  <c r="A28" i="1"/>
  <c r="B28"/>
  <c r="A94" i="5"/>
  <c r="AX27" i="1"/>
  <c r="BD27"/>
  <c r="BC27"/>
  <c r="K94" i="5"/>
  <c r="BR27" i="1"/>
  <c r="BK27"/>
  <c r="BL27"/>
  <c r="BM27"/>
  <c r="BN27"/>
  <c r="BO27"/>
  <c r="BP27"/>
  <c r="BQ27"/>
  <c r="M94" i="5"/>
  <c r="BF27" i="1"/>
  <c r="O94" i="5"/>
  <c r="A29" i="1"/>
  <c r="B29"/>
  <c r="A95" i="5"/>
  <c r="AX28" i="1"/>
  <c r="BD28"/>
  <c r="BC28"/>
  <c r="K95" i="5"/>
  <c r="BR28" i="1"/>
  <c r="BK28"/>
  <c r="BL28"/>
  <c r="BM28"/>
  <c r="BN28"/>
  <c r="BO28"/>
  <c r="BP28"/>
  <c r="BQ28"/>
  <c r="M95" i="5"/>
  <c r="BF28" i="1"/>
  <c r="O95" i="5"/>
  <c r="A30" i="1"/>
  <c r="B30"/>
  <c r="A96" i="5"/>
  <c r="AX29" i="1"/>
  <c r="BD29"/>
  <c r="BC29"/>
  <c r="K96" i="5"/>
  <c r="BR29" i="1"/>
  <c r="BK29"/>
  <c r="BL29"/>
  <c r="BM29"/>
  <c r="BN29"/>
  <c r="BO29"/>
  <c r="BP29"/>
  <c r="BQ29"/>
  <c r="M96" i="5"/>
  <c r="BF29" i="1"/>
  <c r="O96" i="5"/>
  <c r="A31" i="1"/>
  <c r="B31"/>
  <c r="A97" i="5"/>
  <c r="AX30" i="1"/>
  <c r="BD30"/>
  <c r="BC30"/>
  <c r="K97" i="5"/>
  <c r="BR30" i="1"/>
  <c r="BK30"/>
  <c r="BL30"/>
  <c r="BM30"/>
  <c r="BN30"/>
  <c r="BO30"/>
  <c r="BP30"/>
  <c r="BQ30"/>
  <c r="M97" i="5"/>
  <c r="BF30" i="1"/>
  <c r="O97" i="5"/>
  <c r="A32" i="1"/>
  <c r="B32"/>
  <c r="A98" i="5"/>
  <c r="AX31" i="1"/>
  <c r="BD31"/>
  <c r="BC31"/>
  <c r="K98" i="5"/>
  <c r="BK31" i="1"/>
  <c r="BL31"/>
  <c r="BM31"/>
  <c r="BN31"/>
  <c r="BO31"/>
  <c r="BP31"/>
  <c r="BQ31"/>
  <c r="M98" i="5"/>
  <c r="BF31" i="1"/>
  <c r="O98" i="5"/>
  <c r="A33" i="1"/>
  <c r="B33"/>
  <c r="A99" i="5"/>
  <c r="AX32" i="1"/>
  <c r="BD32"/>
  <c r="BC32"/>
  <c r="K99" i="5"/>
  <c r="BK32" i="1"/>
  <c r="BL32"/>
  <c r="BM32"/>
  <c r="BN32"/>
  <c r="BO32"/>
  <c r="BP32"/>
  <c r="BQ32"/>
  <c r="M99" i="5"/>
  <c r="BF32" i="1"/>
  <c r="O99" i="5"/>
  <c r="A34" i="1"/>
  <c r="B34"/>
  <c r="A100" i="5"/>
  <c r="AX33" i="1"/>
  <c r="BD33"/>
  <c r="BC33"/>
  <c r="K100" i="5"/>
  <c r="BK33" i="1"/>
  <c r="BL33"/>
  <c r="BM33"/>
  <c r="BN33"/>
  <c r="BO33"/>
  <c r="BP33"/>
  <c r="BQ33"/>
  <c r="M100" i="5"/>
  <c r="BF33" i="1"/>
  <c r="O100" i="5"/>
  <c r="A35" i="1"/>
  <c r="B35"/>
  <c r="A101" i="5"/>
  <c r="AX34" i="1"/>
  <c r="BD34"/>
  <c r="BC34"/>
  <c r="K101" i="5"/>
  <c r="BK34" i="1"/>
  <c r="BL34"/>
  <c r="BM34"/>
  <c r="BN34"/>
  <c r="BO34"/>
  <c r="BP34"/>
  <c r="BQ34"/>
  <c r="M101" i="5"/>
  <c r="BF34" i="1"/>
  <c r="O101" i="5"/>
  <c r="A36" i="1"/>
  <c r="B36"/>
  <c r="A102" i="5"/>
  <c r="AX35" i="1"/>
  <c r="BD35"/>
  <c r="BC35"/>
  <c r="K102" i="5"/>
  <c r="BK35" i="1"/>
  <c r="BL35"/>
  <c r="BM35"/>
  <c r="BN35"/>
  <c r="BO35"/>
  <c r="BP35"/>
  <c r="BQ35"/>
  <c r="M102" i="5"/>
  <c r="BF35" i="1"/>
  <c r="O102" i="5"/>
  <c r="A37" i="1"/>
  <c r="B37"/>
  <c r="A103" i="5"/>
  <c r="AX36" i="1"/>
  <c r="BD36"/>
  <c r="BC36"/>
  <c r="K103" i="5"/>
  <c r="BK36" i="1"/>
  <c r="BL36"/>
  <c r="BM36"/>
  <c r="BN36"/>
  <c r="BO36"/>
  <c r="BP36"/>
  <c r="BQ36"/>
  <c r="M103" i="5"/>
  <c r="BF36" i="1"/>
  <c r="O103" i="5"/>
  <c r="A38" i="1"/>
  <c r="B38"/>
  <c r="I12"/>
  <c r="E58"/>
  <c r="E59"/>
  <c r="E60"/>
  <c r="E57"/>
  <c r="E62"/>
  <c r="E63"/>
  <c r="E64"/>
  <c r="E65"/>
  <c r="E66"/>
  <c r="E67"/>
  <c r="E68"/>
  <c r="E69"/>
  <c r="E70"/>
  <c r="E71"/>
  <c r="E72"/>
  <c r="E73"/>
  <c r="E74"/>
  <c r="E75"/>
  <c r="E76"/>
  <c r="E77"/>
  <c r="E78"/>
  <c r="E79"/>
  <c r="E80"/>
  <c r="E81"/>
  <c r="E82"/>
  <c r="E83"/>
  <c r="E84"/>
  <c r="E85"/>
  <c r="E86"/>
  <c r="E61"/>
  <c r="H12"/>
  <c r="J12"/>
  <c r="K12"/>
  <c r="G12"/>
  <c r="F12"/>
  <c r="I57" i="5"/>
  <c r="K104"/>
  <c r="A104"/>
  <c r="AX37" i="1"/>
  <c r="BD37"/>
  <c r="BC37"/>
  <c r="BF37"/>
  <c r="O104" i="5"/>
  <c r="A39" i="1"/>
  <c r="B39"/>
  <c r="K105" i="5"/>
  <c r="A105"/>
  <c r="AX38" i="1"/>
  <c r="BD38"/>
  <c r="BC38"/>
  <c r="BF38"/>
  <c r="O105" i="5"/>
  <c r="A40" i="1"/>
  <c r="B40"/>
  <c r="K106" i="5"/>
  <c r="A106"/>
  <c r="AX39" i="1"/>
  <c r="BD39"/>
  <c r="BC39"/>
  <c r="BF39"/>
  <c r="O106" i="5"/>
  <c r="A41" i="1"/>
  <c r="B41"/>
  <c r="K107" i="5"/>
  <c r="A107"/>
  <c r="AX40" i="1"/>
  <c r="BD40"/>
  <c r="BC40"/>
  <c r="BF40"/>
  <c r="O107" i="5"/>
  <c r="A42" i="1"/>
  <c r="B42"/>
  <c r="K108" i="5"/>
  <c r="A108"/>
  <c r="AX41" i="1"/>
  <c r="BD41"/>
  <c r="BC41"/>
  <c r="BF41"/>
  <c r="O108" i="5"/>
  <c r="A43" i="1"/>
  <c r="B43"/>
  <c r="B47"/>
  <c r="E64" i="5"/>
  <c r="K2" i="1"/>
  <c r="F10"/>
  <c r="BE17"/>
  <c r="BE18"/>
  <c r="BE19"/>
  <c r="BE20"/>
  <c r="BE21"/>
  <c r="BE22"/>
  <c r="BE23"/>
  <c r="BE24"/>
  <c r="BE25"/>
  <c r="BE26"/>
  <c r="BE27"/>
  <c r="BE28"/>
  <c r="BE29"/>
  <c r="BE30"/>
  <c r="BE31"/>
  <c r="BE32"/>
  <c r="BE33"/>
  <c r="BE34"/>
  <c r="BE35"/>
  <c r="BE36"/>
  <c r="A45"/>
  <c r="B13"/>
  <c r="W15"/>
  <c r="X9"/>
  <c r="AK14"/>
  <c r="AS17"/>
  <c r="AR17"/>
  <c r="AL15"/>
  <c r="BH17"/>
  <c r="BH18"/>
  <c r="BH19"/>
  <c r="BH20"/>
  <c r="BH21"/>
  <c r="BH22"/>
  <c r="BH23"/>
  <c r="BH24"/>
  <c r="BH25"/>
  <c r="BH26"/>
  <c r="BH27"/>
  <c r="BH28"/>
  <c r="BH29"/>
  <c r="BH30"/>
  <c r="BH31"/>
  <c r="BH32"/>
  <c r="BH33"/>
  <c r="BH34"/>
  <c r="BH35"/>
  <c r="B10"/>
  <c r="BE16"/>
  <c r="BE37"/>
  <c r="BE38"/>
  <c r="BE39"/>
  <c r="BE40"/>
  <c r="BE41"/>
  <c r="BP12"/>
  <c r="BO12"/>
  <c r="BN12"/>
  <c r="BM12"/>
  <c r="K109" i="5"/>
  <c r="M109"/>
  <c r="O109"/>
  <c r="K110"/>
  <c r="I72"/>
  <c r="I70"/>
  <c r="I68"/>
  <c r="I66"/>
  <c r="G66"/>
  <c r="G68"/>
  <c r="G70"/>
  <c r="Y17" i="1"/>
  <c r="Y18"/>
  <c r="Y19"/>
  <c r="Y20"/>
  <c r="Y21"/>
  <c r="Y22"/>
  <c r="Y23"/>
  <c r="Y24"/>
  <c r="Y25"/>
  <c r="Y26"/>
  <c r="Y27"/>
  <c r="Y28"/>
  <c r="Y29"/>
  <c r="Y30"/>
  <c r="Y31"/>
  <c r="Y32"/>
  <c r="Y33"/>
  <c r="Y34"/>
  <c r="Y35"/>
  <c r="Y36"/>
  <c r="Y37"/>
  <c r="Y38"/>
  <c r="Y39"/>
  <c r="Y40"/>
  <c r="Y41"/>
  <c r="Y42"/>
  <c r="Y43"/>
  <c r="Y44"/>
  <c r="Y45"/>
  <c r="Y46"/>
  <c r="Y47"/>
  <c r="Y48"/>
  <c r="Y49"/>
  <c r="Y50"/>
  <c r="Y51"/>
  <c r="Y52"/>
  <c r="Y53"/>
  <c r="Y54"/>
  <c r="Y55"/>
  <c r="Y56"/>
  <c r="T3" i="11"/>
  <c r="T4"/>
  <c r="T5"/>
  <c r="T6"/>
  <c r="T7"/>
  <c r="T8"/>
  <c r="T9"/>
  <c r="T10"/>
  <c r="T11"/>
  <c r="T12"/>
  <c r="T13"/>
  <c r="T14"/>
  <c r="T15"/>
  <c r="T16"/>
  <c r="T17"/>
  <c r="T18"/>
  <c r="T19"/>
  <c r="T20"/>
  <c r="T21"/>
  <c r="T22"/>
  <c r="T23"/>
  <c r="T24"/>
  <c r="T25"/>
  <c r="T26"/>
  <c r="T27"/>
  <c r="T28"/>
  <c r="T29"/>
  <c r="C22" i="9"/>
  <c r="D21"/>
  <c r="D23"/>
  <c r="D8"/>
  <c r="BE31" i="11"/>
  <c r="BX31"/>
  <c r="BZ31"/>
  <c r="BG34"/>
  <c r="C4" i="9"/>
  <c r="BE30" i="11"/>
  <c r="BX30"/>
  <c r="BZ30"/>
  <c r="BZ32"/>
  <c r="CA32"/>
  <c r="F3" i="9"/>
  <c r="E3"/>
  <c r="G3"/>
  <c r="T30" i="11"/>
  <c r="T31"/>
  <c r="T32"/>
  <c r="T33"/>
  <c r="T34"/>
  <c r="T35"/>
  <c r="T36"/>
  <c r="T37"/>
  <c r="T38"/>
  <c r="T39"/>
  <c r="T40"/>
  <c r="T41"/>
  <c r="T42"/>
  <c r="T43"/>
  <c r="T44"/>
  <c r="T45"/>
  <c r="T46"/>
  <c r="T47"/>
  <c r="DE4"/>
  <c r="A5"/>
  <c r="DD4"/>
  <c r="DF4"/>
  <c r="B5"/>
  <c r="CU3"/>
  <c r="CT3"/>
  <c r="A6"/>
  <c r="B6"/>
  <c r="CU4"/>
  <c r="CT4"/>
  <c r="DE11"/>
  <c r="A7"/>
  <c r="DD11"/>
  <c r="DF11"/>
  <c r="B7"/>
  <c r="CU5"/>
  <c r="CT5"/>
  <c r="DE3"/>
  <c r="A8"/>
  <c r="DD3"/>
  <c r="DF3"/>
  <c r="B8"/>
  <c r="CU6"/>
  <c r="CT6"/>
  <c r="A9"/>
  <c r="B9"/>
  <c r="CU7"/>
  <c r="CT7"/>
  <c r="A10"/>
  <c r="B10"/>
  <c r="CU8"/>
  <c r="CT8"/>
  <c r="A11"/>
  <c r="B11"/>
  <c r="CU9"/>
  <c r="CT9"/>
  <c r="A12"/>
  <c r="B12"/>
  <c r="CU10"/>
  <c r="CT10"/>
  <c r="A13"/>
  <c r="B13"/>
  <c r="CU11"/>
  <c r="CT11"/>
  <c r="A14"/>
  <c r="B14"/>
  <c r="CU12"/>
  <c r="CT12"/>
  <c r="A15"/>
  <c r="B15"/>
  <c r="CU13"/>
  <c r="CT13"/>
  <c r="DE6"/>
  <c r="DD6"/>
  <c r="DF6"/>
  <c r="B16"/>
  <c r="CU14"/>
  <c r="CT14"/>
  <c r="B17"/>
  <c r="CU15"/>
  <c r="CT15"/>
  <c r="B18"/>
  <c r="CU16"/>
  <c r="CT16"/>
  <c r="DE8"/>
  <c r="DD8"/>
  <c r="DF8"/>
  <c r="B19"/>
  <c r="CU17"/>
  <c r="CT17"/>
  <c r="B20"/>
  <c r="CU18"/>
  <c r="CT18"/>
  <c r="B21"/>
  <c r="CU19"/>
  <c r="CT19"/>
  <c r="DE5"/>
  <c r="DD5"/>
  <c r="DF5"/>
  <c r="B22"/>
  <c r="CU20"/>
  <c r="CT20"/>
  <c r="B23"/>
  <c r="CU21"/>
  <c r="CT21"/>
  <c r="B24"/>
  <c r="CU22"/>
  <c r="CT22"/>
  <c r="DE7"/>
  <c r="DD7"/>
  <c r="DF7"/>
  <c r="B25"/>
  <c r="CU23"/>
  <c r="CT23"/>
  <c r="B26"/>
  <c r="CU24"/>
  <c r="CT24"/>
  <c r="B27"/>
  <c r="CU25"/>
  <c r="CT25"/>
  <c r="B28"/>
  <c r="CU26"/>
  <c r="CT26"/>
  <c r="B29"/>
  <c r="CU27"/>
  <c r="CT27"/>
  <c r="CU28"/>
  <c r="CT28"/>
  <c r="CU29"/>
  <c r="CT29"/>
  <c r="DE9"/>
  <c r="DD9"/>
  <c r="DF9"/>
  <c r="B32"/>
  <c r="CU30"/>
  <c r="CT30"/>
  <c r="CU31"/>
  <c r="CT31"/>
  <c r="CU32"/>
  <c r="CT32"/>
  <c r="CU33"/>
  <c r="CT33"/>
  <c r="CU34"/>
  <c r="CT34"/>
  <c r="CU35"/>
  <c r="CT35"/>
  <c r="CU36"/>
  <c r="CT36"/>
  <c r="CU37"/>
  <c r="CT37"/>
  <c r="CU38"/>
  <c r="CT38"/>
  <c r="CU39"/>
  <c r="CT39"/>
  <c r="CU40"/>
  <c r="CT40"/>
  <c r="CV5"/>
  <c r="CV6"/>
  <c r="CV7"/>
  <c r="CV8"/>
  <c r="CV9"/>
  <c r="CV10"/>
  <c r="CV11"/>
  <c r="CV12"/>
  <c r="CV13"/>
  <c r="CV14"/>
  <c r="CV15"/>
  <c r="CV16"/>
  <c r="CV17"/>
  <c r="CV18"/>
  <c r="CV19"/>
  <c r="CV20"/>
  <c r="CV21"/>
  <c r="CV22"/>
  <c r="CV23"/>
  <c r="CV24"/>
  <c r="CV25"/>
  <c r="CV26"/>
  <c r="CV27"/>
  <c r="CV28"/>
  <c r="CV29"/>
  <c r="CV30"/>
  <c r="CV31"/>
  <c r="CV32"/>
  <c r="CV33"/>
  <c r="CV34"/>
  <c r="CV35"/>
  <c r="CV36"/>
  <c r="CV37"/>
  <c r="CV38"/>
  <c r="CV39"/>
  <c r="CV40"/>
  <c r="CV4"/>
  <c r="CV3"/>
  <c r="DM2"/>
  <c r="DM20"/>
  <c r="DN20"/>
  <c r="DM19"/>
  <c r="DN19"/>
  <c r="DM18"/>
  <c r="DN18"/>
  <c r="DM17"/>
  <c r="DN17"/>
  <c r="DM16"/>
  <c r="DN16"/>
  <c r="DM15"/>
  <c r="DN15"/>
  <c r="DM14"/>
  <c r="DN14"/>
  <c r="DM13"/>
  <c r="DN13"/>
  <c r="DM12"/>
  <c r="DN12"/>
  <c r="DM11"/>
  <c r="DN11"/>
  <c r="DM10"/>
  <c r="DN10"/>
  <c r="DM9"/>
  <c r="DN9"/>
  <c r="DM8"/>
  <c r="DN8"/>
  <c r="DM7"/>
  <c r="DN7"/>
  <c r="DM6"/>
  <c r="DN6"/>
  <c r="DM5"/>
  <c r="DN5"/>
  <c r="DM4"/>
  <c r="DN4"/>
  <c r="DM3"/>
  <c r="DN3"/>
  <c r="DL3"/>
  <c r="DL4"/>
  <c r="DL5"/>
  <c r="DL6"/>
  <c r="DL7"/>
  <c r="DL8"/>
  <c r="DL9"/>
  <c r="DL10"/>
  <c r="DL11"/>
  <c r="DL12"/>
  <c r="DL13"/>
  <c r="DL14"/>
  <c r="DL15"/>
  <c r="DL16"/>
  <c r="DL17"/>
  <c r="DL18"/>
  <c r="DL19"/>
  <c r="DL20"/>
  <c r="DM21"/>
  <c r="DN21"/>
  <c r="DL21"/>
  <c r="DM22"/>
  <c r="DN22"/>
  <c r="DL22"/>
  <c r="DM23"/>
  <c r="DN23"/>
  <c r="DL23"/>
  <c r="DM24"/>
  <c r="DN24"/>
  <c r="DL24"/>
  <c r="DM25"/>
  <c r="DN25"/>
  <c r="DL25"/>
  <c r="DM26"/>
  <c r="DN26"/>
  <c r="DL26"/>
  <c r="DM27"/>
  <c r="DN27"/>
  <c r="DL27"/>
  <c r="DM28"/>
  <c r="DN28"/>
  <c r="DL28"/>
  <c r="DM29"/>
  <c r="DN29"/>
  <c r="DL29"/>
  <c r="DM30"/>
  <c r="DN30"/>
  <c r="DL30"/>
  <c r="DM31"/>
  <c r="DN31"/>
  <c r="DL31"/>
  <c r="DM32"/>
  <c r="DN32"/>
  <c r="DL32"/>
  <c r="DM33"/>
  <c r="DN33"/>
  <c r="DL33"/>
  <c r="DM34"/>
  <c r="DN34"/>
  <c r="DL34"/>
  <c r="DM35"/>
  <c r="DN35"/>
  <c r="DL35"/>
  <c r="DM36"/>
  <c r="DN36"/>
  <c r="DL36"/>
  <c r="DM37"/>
  <c r="DN37"/>
  <c r="DL37"/>
  <c r="DM38"/>
  <c r="DN38"/>
  <c r="DL38"/>
  <c r="DM39"/>
  <c r="DN39"/>
  <c r="DL39"/>
  <c r="DM40"/>
  <c r="DN40"/>
  <c r="DL40"/>
  <c r="DM41"/>
  <c r="DN41"/>
  <c r="DL41"/>
  <c r="DM42"/>
  <c r="DN42"/>
  <c r="DL42"/>
  <c r="DM43"/>
  <c r="DN43"/>
  <c r="DL43"/>
  <c r="DM44"/>
  <c r="DN44"/>
  <c r="DL44"/>
  <c r="DM45"/>
  <c r="DN45"/>
  <c r="DL45"/>
  <c r="DM46"/>
  <c r="DN46"/>
  <c r="DL46"/>
  <c r="DM47"/>
  <c r="DN47"/>
  <c r="DL47"/>
  <c r="DM48"/>
  <c r="DN48"/>
  <c r="DL48"/>
  <c r="DM49"/>
  <c r="DN49"/>
  <c r="DL49"/>
  <c r="DM50"/>
  <c r="DN50"/>
  <c r="DL50"/>
  <c r="DM51"/>
  <c r="DN51"/>
  <c r="DL51"/>
  <c r="DM52"/>
  <c r="DN52"/>
  <c r="DL52"/>
  <c r="DM53"/>
  <c r="DN53"/>
  <c r="DL53"/>
  <c r="DM54"/>
  <c r="DN54"/>
  <c r="DL54"/>
  <c r="DM55"/>
  <c r="DN55"/>
  <c r="DL55"/>
  <c r="DM56"/>
  <c r="DN56"/>
  <c r="DL56"/>
  <c r="DM57"/>
  <c r="DN57"/>
  <c r="DL57"/>
  <c r="DM58"/>
  <c r="DN58"/>
  <c r="DL58"/>
  <c r="DM59"/>
  <c r="DN59"/>
  <c r="DL59"/>
  <c r="DM60"/>
  <c r="DN60"/>
  <c r="DL60"/>
  <c r="DO20"/>
  <c r="DO21"/>
  <c r="DO22"/>
  <c r="DO23"/>
  <c r="DO24"/>
  <c r="DO25"/>
  <c r="DO26"/>
  <c r="DO27"/>
  <c r="DO28"/>
  <c r="DO29"/>
  <c r="DO30"/>
  <c r="DO31"/>
  <c r="DO32"/>
  <c r="DO33"/>
  <c r="DO34"/>
  <c r="DO35"/>
  <c r="DO36"/>
  <c r="DO37"/>
  <c r="DO38"/>
  <c r="DO39"/>
  <c r="DO40"/>
  <c r="DO41"/>
  <c r="DO42"/>
  <c r="DO43"/>
  <c r="DO44"/>
  <c r="DO45"/>
  <c r="DO46"/>
  <c r="DO47"/>
  <c r="DO48"/>
  <c r="DO49"/>
  <c r="DO50"/>
  <c r="DO51"/>
  <c r="DO52"/>
  <c r="DO53"/>
  <c r="DO54"/>
  <c r="DO55"/>
  <c r="DO56"/>
  <c r="DO57"/>
  <c r="DO58"/>
  <c r="DO59"/>
  <c r="DO60"/>
  <c r="H58" i="1"/>
  <c r="H59"/>
  <c r="H60"/>
  <c r="H18"/>
  <c r="H19"/>
  <c r="H20"/>
  <c r="H21"/>
  <c r="H22"/>
  <c r="H23"/>
  <c r="H24"/>
  <c r="H25"/>
  <c r="H26"/>
  <c r="H27"/>
  <c r="H28"/>
  <c r="H29"/>
  <c r="H30"/>
  <c r="H31"/>
  <c r="H32"/>
  <c r="H33"/>
  <c r="H34"/>
  <c r="H35"/>
  <c r="H36"/>
  <c r="H37"/>
  <c r="H38"/>
  <c r="H39"/>
  <c r="H40"/>
  <c r="H41"/>
  <c r="H42"/>
  <c r="H43"/>
  <c r="H44"/>
  <c r="H45"/>
  <c r="H46"/>
  <c r="H47"/>
  <c r="H48"/>
  <c r="H49"/>
  <c r="H50"/>
  <c r="H51"/>
  <c r="H52"/>
  <c r="H53"/>
  <c r="H54"/>
  <c r="H55"/>
  <c r="H56"/>
  <c r="H62"/>
  <c r="M57"/>
  <c r="N57"/>
  <c r="M58"/>
  <c r="N58"/>
  <c r="M59"/>
  <c r="N59"/>
  <c r="M60"/>
  <c r="N60"/>
  <c r="H88"/>
  <c r="H63"/>
  <c r="H64"/>
  <c r="H65"/>
  <c r="H66"/>
  <c r="H67"/>
  <c r="H68"/>
  <c r="H69"/>
  <c r="H70"/>
  <c r="H71"/>
  <c r="H72"/>
  <c r="H73"/>
  <c r="H74"/>
  <c r="H75"/>
  <c r="H76"/>
  <c r="H77"/>
  <c r="H78"/>
  <c r="H79"/>
  <c r="H80"/>
  <c r="H81"/>
  <c r="J81"/>
  <c r="L81"/>
  <c r="M81"/>
  <c r="N81"/>
  <c r="H82"/>
  <c r="J82"/>
  <c r="K82"/>
  <c r="L82"/>
  <c r="M82"/>
  <c r="N82"/>
  <c r="H83"/>
  <c r="I83"/>
  <c r="J83"/>
  <c r="K83"/>
  <c r="L83"/>
  <c r="M83"/>
  <c r="N83"/>
  <c r="H84"/>
  <c r="J84"/>
  <c r="K84"/>
  <c r="L84"/>
  <c r="M84"/>
  <c r="N84"/>
  <c r="H85"/>
  <c r="I85"/>
  <c r="K85"/>
  <c r="L85"/>
  <c r="M85"/>
  <c r="N85"/>
  <c r="H86"/>
  <c r="I86"/>
  <c r="J86"/>
  <c r="K86"/>
  <c r="L86"/>
  <c r="M86"/>
  <c r="N86"/>
  <c r="H106"/>
  <c r="N87"/>
  <c r="I88"/>
  <c r="H89"/>
  <c r="H90"/>
  <c r="H91"/>
  <c r="H92"/>
  <c r="H93"/>
  <c r="I93"/>
  <c r="J93"/>
  <c r="K93"/>
  <c r="M93"/>
  <c r="N93"/>
  <c r="H94"/>
  <c r="I94"/>
  <c r="K94"/>
  <c r="M94"/>
  <c r="N94"/>
  <c r="H95"/>
  <c r="I95"/>
  <c r="J95"/>
  <c r="K95"/>
  <c r="M95"/>
  <c r="N95"/>
  <c r="H96"/>
  <c r="J96"/>
  <c r="K96"/>
  <c r="M96"/>
  <c r="N96"/>
  <c r="H97"/>
  <c r="J97"/>
  <c r="M97"/>
  <c r="N97"/>
  <c r="H98"/>
  <c r="I98"/>
  <c r="J98"/>
  <c r="K98"/>
  <c r="M98"/>
  <c r="N98"/>
  <c r="H99"/>
  <c r="I99"/>
  <c r="J99"/>
  <c r="K99"/>
  <c r="M99"/>
  <c r="N99"/>
  <c r="H100"/>
  <c r="I100"/>
  <c r="J100"/>
  <c r="K100"/>
  <c r="M100"/>
  <c r="N100"/>
  <c r="H101"/>
  <c r="I101"/>
  <c r="J101"/>
  <c r="K101"/>
  <c r="M101"/>
  <c r="N101"/>
  <c r="H102"/>
  <c r="H103"/>
  <c r="H104"/>
  <c r="H153"/>
  <c r="H107"/>
  <c r="H108"/>
  <c r="H109"/>
  <c r="H110"/>
  <c r="H111"/>
  <c r="H112"/>
  <c r="H113"/>
  <c r="H114"/>
  <c r="H115"/>
  <c r="D115"/>
  <c r="I115"/>
  <c r="J115"/>
  <c r="K115"/>
  <c r="M115"/>
  <c r="H116"/>
  <c r="D116"/>
  <c r="I116"/>
  <c r="J116"/>
  <c r="K116"/>
  <c r="M116"/>
  <c r="H117"/>
  <c r="D117"/>
  <c r="I117"/>
  <c r="J117"/>
  <c r="K117"/>
  <c r="M117"/>
  <c r="H118"/>
  <c r="D118"/>
  <c r="I118"/>
  <c r="J118"/>
  <c r="K118"/>
  <c r="M118"/>
  <c r="H119"/>
  <c r="D119"/>
  <c r="I119"/>
  <c r="J119"/>
  <c r="K119"/>
  <c r="M119"/>
  <c r="H120"/>
  <c r="D120"/>
  <c r="I120"/>
  <c r="J120"/>
  <c r="K120"/>
  <c r="M120"/>
  <c r="H121"/>
  <c r="D121"/>
  <c r="I121"/>
  <c r="J121"/>
  <c r="K121"/>
  <c r="M121"/>
  <c r="H122"/>
  <c r="D122"/>
  <c r="I122"/>
  <c r="J122"/>
  <c r="K122"/>
  <c r="M122"/>
  <c r="H123"/>
  <c r="D123"/>
  <c r="I123"/>
  <c r="J123"/>
  <c r="K123"/>
  <c r="M123"/>
  <c r="H124"/>
  <c r="D124"/>
  <c r="I124"/>
  <c r="J124"/>
  <c r="K124"/>
  <c r="M124"/>
  <c r="H125"/>
  <c r="D125"/>
  <c r="I125"/>
  <c r="J125"/>
  <c r="K125"/>
  <c r="M125"/>
  <c r="H126"/>
  <c r="D126"/>
  <c r="I126"/>
  <c r="J126"/>
  <c r="K126"/>
  <c r="M126"/>
  <c r="H127"/>
  <c r="D127"/>
  <c r="I127"/>
  <c r="J127"/>
  <c r="K127"/>
  <c r="M127"/>
  <c r="H128"/>
  <c r="D128"/>
  <c r="I128"/>
  <c r="J128"/>
  <c r="K128"/>
  <c r="M128"/>
  <c r="H129"/>
  <c r="D129"/>
  <c r="I129"/>
  <c r="J129"/>
  <c r="K129"/>
  <c r="M129"/>
  <c r="H130"/>
  <c r="D130"/>
  <c r="I130"/>
  <c r="J130"/>
  <c r="K130"/>
  <c r="M130"/>
  <c r="H131"/>
  <c r="D131"/>
  <c r="I131"/>
  <c r="J131"/>
  <c r="K131"/>
  <c r="M131"/>
  <c r="H132"/>
  <c r="D132"/>
  <c r="I132"/>
  <c r="J132"/>
  <c r="K132"/>
  <c r="M132"/>
  <c r="H133"/>
  <c r="D133"/>
  <c r="I133"/>
  <c r="J133"/>
  <c r="K133"/>
  <c r="M133"/>
  <c r="H134"/>
  <c r="D134"/>
  <c r="I134"/>
  <c r="J134"/>
  <c r="K134"/>
  <c r="M134"/>
  <c r="H135"/>
  <c r="D135"/>
  <c r="I135"/>
  <c r="J135"/>
  <c r="K135"/>
  <c r="M135"/>
  <c r="H136"/>
  <c r="D136"/>
  <c r="I136"/>
  <c r="J136"/>
  <c r="K136"/>
  <c r="M136"/>
  <c r="H137"/>
  <c r="D137"/>
  <c r="I137"/>
  <c r="J137"/>
  <c r="K137"/>
  <c r="M137"/>
  <c r="H138"/>
  <c r="D138"/>
  <c r="I138"/>
  <c r="J138"/>
  <c r="K138"/>
  <c r="M138"/>
  <c r="H139"/>
  <c r="D139"/>
  <c r="I139"/>
  <c r="J139"/>
  <c r="K139"/>
  <c r="M139"/>
  <c r="H140"/>
  <c r="D140"/>
  <c r="I140"/>
  <c r="J140"/>
  <c r="K140"/>
  <c r="M140"/>
  <c r="H141"/>
  <c r="D141"/>
  <c r="I141"/>
  <c r="J141"/>
  <c r="K141"/>
  <c r="M141"/>
  <c r="H142"/>
  <c r="D142"/>
  <c r="I142"/>
  <c r="J142"/>
  <c r="K142"/>
  <c r="M142"/>
  <c r="H143"/>
  <c r="D143"/>
  <c r="I143"/>
  <c r="J143"/>
  <c r="K143"/>
  <c r="M143"/>
  <c r="H144"/>
  <c r="D144"/>
  <c r="I144"/>
  <c r="J144"/>
  <c r="K144"/>
  <c r="M144"/>
  <c r="H145"/>
  <c r="D145"/>
  <c r="I145"/>
  <c r="J145"/>
  <c r="K145"/>
  <c r="M145"/>
  <c r="H146"/>
  <c r="D146"/>
  <c r="I146"/>
  <c r="J146"/>
  <c r="K146"/>
  <c r="M146"/>
  <c r="H147"/>
  <c r="D147"/>
  <c r="I147"/>
  <c r="J147"/>
  <c r="K147"/>
  <c r="M147"/>
  <c r="H148"/>
  <c r="D148"/>
  <c r="I148"/>
  <c r="J148"/>
  <c r="K148"/>
  <c r="M148"/>
  <c r="H149"/>
  <c r="D149"/>
  <c r="I149"/>
  <c r="J149"/>
  <c r="K149"/>
  <c r="M149"/>
  <c r="H150"/>
  <c r="D150"/>
  <c r="I150"/>
  <c r="J150"/>
  <c r="K150"/>
  <c r="M150"/>
  <c r="H151"/>
  <c r="D151"/>
  <c r="I151"/>
  <c r="J151"/>
  <c r="K151"/>
  <c r="M151"/>
  <c r="H152"/>
  <c r="D152"/>
  <c r="I152"/>
  <c r="J152"/>
  <c r="K152"/>
  <c r="M152"/>
  <c r="K6"/>
  <c r="CA17"/>
  <c r="CA18"/>
  <c r="CA19"/>
  <c r="CA20"/>
  <c r="CA21"/>
  <c r="CA22"/>
  <c r="CA23"/>
  <c r="CA24"/>
  <c r="CA25"/>
  <c r="CA26"/>
  <c r="CA27"/>
  <c r="CA28"/>
  <c r="CA29"/>
  <c r="CA30"/>
  <c r="CA31"/>
  <c r="CA32"/>
  <c r="CA33"/>
  <c r="CA34"/>
  <c r="CA35"/>
  <c r="D153"/>
  <c r="F23" i="9"/>
  <c r="G22"/>
  <c r="G21"/>
  <c r="E59" i="5"/>
  <c r="N12" i="11"/>
  <c r="N13"/>
  <c r="N14"/>
  <c r="N15"/>
  <c r="M13"/>
  <c r="M14"/>
  <c r="M15"/>
  <c r="M12"/>
  <c r="C16" i="9"/>
  <c r="F3" i="11"/>
  <c r="E3"/>
  <c r="E13" i="9"/>
  <c r="C17"/>
  <c r="E4"/>
  <c r="D4"/>
  <c r="C49" i="10"/>
  <c r="G18" i="9"/>
  <c r="F16"/>
  <c r="G16"/>
  <c r="H16"/>
  <c r="J20" i="11"/>
  <c r="J21"/>
  <c r="J19"/>
  <c r="E18" i="9"/>
  <c r="H21" i="11"/>
  <c r="H20"/>
  <c r="H19"/>
  <c r="E16" i="9"/>
  <c r="E17"/>
  <c r="DF12" i="11"/>
  <c r="DB3"/>
  <c r="DB4"/>
  <c r="DB5"/>
  <c r="DB6"/>
  <c r="DB7"/>
  <c r="DB8"/>
  <c r="DB9"/>
  <c r="DB10"/>
  <c r="DB11"/>
  <c r="F5" i="9"/>
  <c r="C57" i="10"/>
  <c r="C56"/>
  <c r="C55"/>
  <c r="D54"/>
  <c r="G47"/>
  <c r="F47"/>
  <c r="F45"/>
  <c r="F12" i="9"/>
  <c r="D5"/>
  <c r="AL10" i="8"/>
  <c r="AM10"/>
  <c r="AV10"/>
  <c r="AV11"/>
  <c r="AX10"/>
  <c r="Z12"/>
  <c r="Z13"/>
  <c r="Z14"/>
  <c r="AI12"/>
  <c r="AV12"/>
  <c r="BC12"/>
  <c r="AI13"/>
  <c r="AJ13"/>
  <c r="AV13"/>
  <c r="BB13"/>
  <c r="BC13"/>
  <c r="AI14"/>
  <c r="AJ14"/>
  <c r="AV14"/>
  <c r="AI15"/>
  <c r="AJ15"/>
  <c r="AV15"/>
  <c r="BB15"/>
  <c r="BC15"/>
  <c r="AI16"/>
  <c r="AJ16"/>
  <c r="AV16"/>
  <c r="P17"/>
  <c r="AI17"/>
  <c r="AJ17"/>
  <c r="AV17"/>
  <c r="BA17"/>
  <c r="AX17"/>
  <c r="BB17"/>
  <c r="BC17"/>
  <c r="BD17"/>
  <c r="AI18"/>
  <c r="AJ18"/>
  <c r="AV18"/>
  <c r="BA18"/>
  <c r="BB18"/>
  <c r="BC18"/>
  <c r="BD18"/>
  <c r="AI19"/>
  <c r="AJ19"/>
  <c r="AV19"/>
  <c r="BA19"/>
  <c r="AX19"/>
  <c r="BC19"/>
  <c r="BD19"/>
  <c r="AI20"/>
  <c r="AJ20"/>
  <c r="AV20"/>
  <c r="BB20"/>
  <c r="BD20"/>
  <c r="AI21"/>
  <c r="AJ21"/>
  <c r="AV21"/>
  <c r="BA21"/>
  <c r="AX21"/>
  <c r="BB21"/>
  <c r="BC21"/>
  <c r="BD21"/>
  <c r="AI22"/>
  <c r="AJ22"/>
  <c r="AV22"/>
  <c r="BA22"/>
  <c r="BC22"/>
  <c r="BD22"/>
  <c r="AI23"/>
  <c r="AJ23"/>
  <c r="AV23"/>
  <c r="BA23"/>
  <c r="AX23"/>
  <c r="BC23"/>
  <c r="AI24"/>
  <c r="AJ24"/>
  <c r="AV24"/>
  <c r="BA24"/>
  <c r="AI25"/>
  <c r="AJ25"/>
  <c r="AV25"/>
  <c r="BC25"/>
  <c r="AI26"/>
  <c r="AJ26"/>
  <c r="AV26"/>
  <c r="S27"/>
  <c r="U27"/>
  <c r="V27"/>
  <c r="AI27"/>
  <c r="AJ27"/>
  <c r="AV27"/>
  <c r="BA27"/>
  <c r="BC27"/>
  <c r="AI28"/>
  <c r="AJ28"/>
  <c r="AV28"/>
  <c r="BA28"/>
  <c r="BC28"/>
  <c r="AI29"/>
  <c r="AJ29"/>
  <c r="AV29"/>
  <c r="BA29"/>
  <c r="BC29"/>
  <c r="O30"/>
  <c r="AI30"/>
  <c r="AJ30"/>
  <c r="AV30"/>
  <c r="BA30"/>
  <c r="AX30"/>
  <c r="BC30"/>
  <c r="G31"/>
  <c r="G32"/>
  <c r="H31"/>
  <c r="O31"/>
  <c r="Y43"/>
  <c r="AI31"/>
  <c r="AJ31"/>
  <c r="AV31"/>
  <c r="BB31"/>
  <c r="AX31"/>
  <c r="BD31"/>
  <c r="E32"/>
  <c r="O32"/>
  <c r="Y44"/>
  <c r="AI32"/>
  <c r="AJ32"/>
  <c r="AV32"/>
  <c r="BA32"/>
  <c r="AX32"/>
  <c r="BC32"/>
  <c r="E33"/>
  <c r="V33"/>
  <c r="AI33"/>
  <c r="AJ33"/>
  <c r="AV33"/>
  <c r="BB33"/>
  <c r="AX33"/>
  <c r="BA33"/>
  <c r="BD33"/>
  <c r="V34"/>
  <c r="AI34"/>
  <c r="AJ34"/>
  <c r="AV34"/>
  <c r="BB34"/>
  <c r="AX34"/>
  <c r="BA34"/>
  <c r="BC34"/>
  <c r="BD34"/>
  <c r="V35"/>
  <c r="AI35"/>
  <c r="AJ35"/>
  <c r="AV35"/>
  <c r="BB35"/>
  <c r="AX35"/>
  <c r="BC35"/>
  <c r="BD35"/>
  <c r="V36"/>
  <c r="AI36"/>
  <c r="AJ36"/>
  <c r="AV36"/>
  <c r="AX36"/>
  <c r="BA36"/>
  <c r="BB36"/>
  <c r="BC36"/>
  <c r="BD36"/>
  <c r="E37"/>
  <c r="G38"/>
  <c r="H38"/>
  <c r="O37"/>
  <c r="V37"/>
  <c r="AE37"/>
  <c r="AI37"/>
  <c r="AJ37"/>
  <c r="AV37"/>
  <c r="BB37"/>
  <c r="AX37"/>
  <c r="BC37"/>
  <c r="O38"/>
  <c r="J36"/>
  <c r="V38"/>
  <c r="AE38"/>
  <c r="AI38"/>
  <c r="AJ38"/>
  <c r="AV38"/>
  <c r="BB38"/>
  <c r="AX38"/>
  <c r="BA38"/>
  <c r="BC38"/>
  <c r="BD38"/>
  <c r="R39"/>
  <c r="S39"/>
  <c r="T39"/>
  <c r="AD39"/>
  <c r="AI39"/>
  <c r="AJ39"/>
  <c r="AV39"/>
  <c r="BD39"/>
  <c r="AX39"/>
  <c r="BA39"/>
  <c r="BC39"/>
  <c r="AE40"/>
  <c r="AI40"/>
  <c r="AJ40"/>
  <c r="AV40"/>
  <c r="BD40"/>
  <c r="AX40"/>
  <c r="BB40"/>
  <c r="P41"/>
  <c r="O41"/>
  <c r="AD41"/>
  <c r="AE41"/>
  <c r="AI41"/>
  <c r="AJ41"/>
  <c r="AX41"/>
  <c r="BA41"/>
  <c r="BB41"/>
  <c r="BC41"/>
  <c r="BD41"/>
  <c r="AD42"/>
  <c r="AE42"/>
  <c r="AI42"/>
  <c r="AJ42"/>
  <c r="AX42"/>
  <c r="BA42"/>
  <c r="BB42"/>
  <c r="BC42"/>
  <c r="BD42"/>
  <c r="P43"/>
  <c r="AX43"/>
  <c r="BA43"/>
  <c r="BB43"/>
  <c r="BC43"/>
  <c r="BD43"/>
  <c r="P44"/>
  <c r="AX44"/>
  <c r="BA44"/>
  <c r="BB44"/>
  <c r="BC44"/>
  <c r="BD44"/>
  <c r="AX45"/>
  <c r="BA45"/>
  <c r="BB45"/>
  <c r="BC45"/>
  <c r="BD45"/>
  <c r="P46"/>
  <c r="AX46"/>
  <c r="BA46"/>
  <c r="BB46"/>
  <c r="BC46"/>
  <c r="BD46"/>
  <c r="P47"/>
  <c r="O47"/>
  <c r="AX47"/>
  <c r="BA47"/>
  <c r="BB47"/>
  <c r="BC47"/>
  <c r="BD47"/>
  <c r="P48"/>
  <c r="O48"/>
  <c r="AX48"/>
  <c r="BA48"/>
  <c r="BB48"/>
  <c r="BC48"/>
  <c r="BD48"/>
  <c r="AX49"/>
  <c r="BA49"/>
  <c r="BB49"/>
  <c r="BC49"/>
  <c r="BD49"/>
  <c r="AX50"/>
  <c r="BA50"/>
  <c r="BB50"/>
  <c r="BC50"/>
  <c r="BD50"/>
  <c r="AX51"/>
  <c r="BA51"/>
  <c r="BB51"/>
  <c r="BC51"/>
  <c r="AX52"/>
  <c r="BA52"/>
  <c r="BB52"/>
  <c r="AX53"/>
  <c r="BA53"/>
  <c r="BB53"/>
  <c r="AX54"/>
  <c r="BA54"/>
  <c r="AX55"/>
  <c r="AX56"/>
  <c r="BA56"/>
  <c r="BD56"/>
  <c r="BC72"/>
  <c r="BC74"/>
  <c r="BC76"/>
  <c r="BC78"/>
  <c r="BC80"/>
  <c r="BC82"/>
  <c r="BC84"/>
  <c r="BC85"/>
  <c r="BC40"/>
  <c r="BB39"/>
  <c r="BA37"/>
  <c r="AD22"/>
  <c r="E50" i="10"/>
  <c r="BA35" i="8"/>
  <c r="BC33"/>
  <c r="BD32"/>
  <c r="BA31"/>
  <c r="BD30"/>
  <c r="BB24"/>
  <c r="BD23"/>
  <c r="BA20"/>
  <c r="BD37"/>
  <c r="V32"/>
  <c r="AI47"/>
  <c r="BB32"/>
  <c r="BB30"/>
  <c r="BD24"/>
  <c r="BB23"/>
  <c r="BB22"/>
  <c r="BC20"/>
  <c r="BB19"/>
  <c r="BA15"/>
  <c r="BA13"/>
  <c r="BC31"/>
  <c r="BC24"/>
  <c r="AD24"/>
  <c r="AD38"/>
  <c r="AD37"/>
  <c r="AJ47"/>
  <c r="AJ43"/>
  <c r="DA3" i="11"/>
  <c r="F10" i="9"/>
  <c r="G9"/>
  <c r="G8"/>
  <c r="H12"/>
  <c r="DE10" i="11"/>
  <c r="DD10"/>
  <c r="DF10"/>
  <c r="AD32" i="8"/>
  <c r="E45" i="10"/>
  <c r="AE14" i="8"/>
  <c r="AD40"/>
  <c r="AE39"/>
  <c r="AD36"/>
  <c r="AE16"/>
  <c r="F8" i="9"/>
  <c r="F9"/>
  <c r="C9"/>
  <c r="A42" i="8"/>
  <c r="Y42"/>
  <c r="Y45"/>
  <c r="D3" i="9"/>
  <c r="BG30" i="11"/>
  <c r="BC11" i="8"/>
  <c r="BD11"/>
  <c r="BA11"/>
  <c r="BB11"/>
  <c r="BB56"/>
  <c r="AS12"/>
  <c r="AS13"/>
  <c r="AS14"/>
  <c r="AS15"/>
  <c r="AS16"/>
  <c r="AS17"/>
  <c r="AS18"/>
  <c r="AS19"/>
  <c r="AS20"/>
  <c r="AS21"/>
  <c r="AS22"/>
  <c r="AS23"/>
  <c r="AS24"/>
  <c r="AS25"/>
  <c r="AS26"/>
  <c r="AS27"/>
  <c r="AS28"/>
  <c r="AS29"/>
  <c r="AS30"/>
  <c r="AS31"/>
  <c r="AS32"/>
  <c r="AS33"/>
  <c r="AS34"/>
  <c r="AS35"/>
  <c r="AS36"/>
  <c r="AS37"/>
  <c r="AS38"/>
  <c r="AS39"/>
  <c r="AS40"/>
  <c r="AS41"/>
  <c r="AS42"/>
  <c r="AS43"/>
  <c r="AS44"/>
  <c r="AS45"/>
  <c r="AS46"/>
  <c r="AS47"/>
  <c r="AS48"/>
  <c r="AS49"/>
  <c r="AS50"/>
  <c r="AS51"/>
  <c r="AS52"/>
  <c r="AS53"/>
  <c r="AS54"/>
  <c r="AS55"/>
  <c r="AS56"/>
  <c r="AJ45"/>
  <c r="O46"/>
  <c r="T46"/>
  <c r="O43"/>
  <c r="S43"/>
  <c r="BD14"/>
  <c r="BA14"/>
  <c r="BB14"/>
  <c r="BC14"/>
  <c r="BC56"/>
  <c r="O44"/>
  <c r="BB26"/>
  <c r="BD26"/>
  <c r="BC26"/>
  <c r="BA26"/>
  <c r="T27"/>
  <c r="S47"/>
  <c r="S49"/>
  <c r="T47"/>
  <c r="T49"/>
  <c r="AI45"/>
  <c r="AI43"/>
  <c r="BD16"/>
  <c r="BA16"/>
  <c r="BB16"/>
  <c r="BC16"/>
  <c r="AD35"/>
  <c r="AD34"/>
  <c r="AD33"/>
  <c r="AE32"/>
  <c r="AD31"/>
  <c r="AD18"/>
  <c r="AX12"/>
  <c r="AX14"/>
  <c r="AX16"/>
  <c r="AX25"/>
  <c r="AX27"/>
  <c r="AX29"/>
  <c r="AX11"/>
  <c r="AX18"/>
  <c r="AX20"/>
  <c r="AX22"/>
  <c r="AX24"/>
  <c r="AX13"/>
  <c r="AX15"/>
  <c r="AX26"/>
  <c r="AX28"/>
  <c r="BA40"/>
  <c r="AD30"/>
  <c r="AE29"/>
  <c r="AE28"/>
  <c r="AE27"/>
  <c r="BD25"/>
  <c r="BA25"/>
  <c r="BB25"/>
  <c r="AE25"/>
  <c r="Z15"/>
  <c r="BD12"/>
  <c r="BA12"/>
  <c r="BB12"/>
  <c r="AD13"/>
  <c r="AD15"/>
  <c r="AE18"/>
  <c r="AE20"/>
  <c r="AE22"/>
  <c r="AE24"/>
  <c r="AD26"/>
  <c r="AD28"/>
  <c r="AE13"/>
  <c r="AE15"/>
  <c r="AD17"/>
  <c r="AD19"/>
  <c r="AD21"/>
  <c r="AD23"/>
  <c r="AE26"/>
  <c r="AD14"/>
  <c r="AD16"/>
  <c r="AE17"/>
  <c r="AE19"/>
  <c r="AE21"/>
  <c r="AE23"/>
  <c r="AD25"/>
  <c r="AD27"/>
  <c r="AD29"/>
  <c r="AE30"/>
  <c r="AE36"/>
  <c r="AE35"/>
  <c r="AE34"/>
  <c r="AE33"/>
  <c r="AE31"/>
  <c r="BD29"/>
  <c r="BB29"/>
  <c r="BB28"/>
  <c r="BD28"/>
  <c r="BD27"/>
  <c r="BB27"/>
  <c r="AD20"/>
  <c r="BD15"/>
  <c r="BD13"/>
  <c r="A28" i="11"/>
  <c r="A29"/>
  <c r="A26"/>
  <c r="A27"/>
  <c r="A32"/>
  <c r="F21" i="9"/>
  <c r="H8"/>
  <c r="F22"/>
  <c r="H9"/>
  <c r="E56" i="10"/>
  <c r="E47"/>
  <c r="T43" i="8"/>
  <c r="T50"/>
  <c r="S46"/>
  <c r="X25"/>
  <c r="A46"/>
  <c r="DC3" i="11"/>
  <c r="A24"/>
  <c r="A20"/>
  <c r="A19"/>
  <c r="A21"/>
  <c r="A23"/>
  <c r="A22"/>
  <c r="A25"/>
  <c r="A17"/>
  <c r="A18"/>
  <c r="A16"/>
  <c r="Z16" i="8"/>
  <c r="S50"/>
  <c r="AH13"/>
  <c r="AF14"/>
  <c r="AK14"/>
  <c r="AH15"/>
  <c r="AM15"/>
  <c r="AF16"/>
  <c r="AK16"/>
  <c r="AP16"/>
  <c r="AG17"/>
  <c r="AL17"/>
  <c r="AG19"/>
  <c r="AL19"/>
  <c r="AG21"/>
  <c r="AL21"/>
  <c r="AG23"/>
  <c r="AL23"/>
  <c r="AF25"/>
  <c r="AK25"/>
  <c r="AP25"/>
  <c r="AH26"/>
  <c r="AM26"/>
  <c r="AF27"/>
  <c r="AK27"/>
  <c r="AP27"/>
  <c r="AH28"/>
  <c r="AM28"/>
  <c r="AF29"/>
  <c r="AK29"/>
  <c r="AP29"/>
  <c r="AG30"/>
  <c r="AL30"/>
  <c r="AG14"/>
  <c r="AL14"/>
  <c r="AG16"/>
  <c r="AL16"/>
  <c r="AH17"/>
  <c r="AM17"/>
  <c r="AF18"/>
  <c r="AK18"/>
  <c r="AP18"/>
  <c r="AH19"/>
  <c r="AM19"/>
  <c r="AF20"/>
  <c r="AK20"/>
  <c r="AP20"/>
  <c r="AH21"/>
  <c r="AM21"/>
  <c r="AF22"/>
  <c r="AK22"/>
  <c r="AP22"/>
  <c r="AH23"/>
  <c r="AM23"/>
  <c r="AF24"/>
  <c r="AK24"/>
  <c r="AP24"/>
  <c r="AG25"/>
  <c r="AL25"/>
  <c r="AF13"/>
  <c r="AH14"/>
  <c r="AM14"/>
  <c r="AF15"/>
  <c r="AK15"/>
  <c r="AH16"/>
  <c r="AM16"/>
  <c r="AG18"/>
  <c r="AL18"/>
  <c r="AG20"/>
  <c r="AL20"/>
  <c r="AG22"/>
  <c r="AL22"/>
  <c r="AG24"/>
  <c r="AL24"/>
  <c r="AH25"/>
  <c r="AM25"/>
  <c r="AF26"/>
  <c r="AK26"/>
  <c r="AP26"/>
  <c r="AH27"/>
  <c r="AM27"/>
  <c r="AF28"/>
  <c r="AK28"/>
  <c r="AP28"/>
  <c r="AH29"/>
  <c r="AM29"/>
  <c r="AH18"/>
  <c r="AM18"/>
  <c r="AF21"/>
  <c r="AK21"/>
  <c r="AP21"/>
  <c r="AF23"/>
  <c r="AK23"/>
  <c r="AP23"/>
  <c r="AG26"/>
  <c r="AL26"/>
  <c r="AF32"/>
  <c r="AK32"/>
  <c r="AP32"/>
  <c r="AF39"/>
  <c r="AK39"/>
  <c r="AP39"/>
  <c r="AF40"/>
  <c r="AK40"/>
  <c r="AP40"/>
  <c r="AG42"/>
  <c r="AL42"/>
  <c r="AG13"/>
  <c r="AG15"/>
  <c r="AL15"/>
  <c r="AH20"/>
  <c r="AM20"/>
  <c r="AF31"/>
  <c r="AK31"/>
  <c r="AP31"/>
  <c r="AG32"/>
  <c r="AL32"/>
  <c r="AF33"/>
  <c r="AK33"/>
  <c r="AP33"/>
  <c r="AF34"/>
  <c r="AK34"/>
  <c r="AP34"/>
  <c r="AF35"/>
  <c r="AK35"/>
  <c r="AP35"/>
  <c r="AF36"/>
  <c r="AK36"/>
  <c r="AP36"/>
  <c r="AF37"/>
  <c r="AK37"/>
  <c r="AP37"/>
  <c r="AF38"/>
  <c r="AK38"/>
  <c r="AP38"/>
  <c r="AG39"/>
  <c r="AL39"/>
  <c r="AG40"/>
  <c r="AL40"/>
  <c r="AF41"/>
  <c r="AK41"/>
  <c r="AP41"/>
  <c r="AH42"/>
  <c r="AM42"/>
  <c r="AE45"/>
  <c r="AF19"/>
  <c r="AK19"/>
  <c r="AP19"/>
  <c r="AH24"/>
  <c r="AM24"/>
  <c r="AH30"/>
  <c r="AM30"/>
  <c r="AH31"/>
  <c r="AM31"/>
  <c r="AH33"/>
  <c r="AM33"/>
  <c r="AH34"/>
  <c r="AM34"/>
  <c r="AH35"/>
  <c r="AM35"/>
  <c r="AH36"/>
  <c r="AM36"/>
  <c r="AH37"/>
  <c r="AM37"/>
  <c r="AH38"/>
  <c r="AM38"/>
  <c r="AH41"/>
  <c r="AM41"/>
  <c r="AF42"/>
  <c r="AK42"/>
  <c r="AP42"/>
  <c r="AE43"/>
  <c r="AH22"/>
  <c r="AM22"/>
  <c r="AF30"/>
  <c r="AK30"/>
  <c r="AP30"/>
  <c r="AG33"/>
  <c r="AL33"/>
  <c r="AF17"/>
  <c r="AK17"/>
  <c r="AP17"/>
  <c r="AG27"/>
  <c r="AL27"/>
  <c r="AG29"/>
  <c r="AL29"/>
  <c r="AH32"/>
  <c r="AM32"/>
  <c r="AG34"/>
  <c r="AL34"/>
  <c r="AG37"/>
  <c r="AL37"/>
  <c r="AG38"/>
  <c r="AL38"/>
  <c r="AG28"/>
  <c r="AL28"/>
  <c r="AG31"/>
  <c r="AL31"/>
  <c r="AG35"/>
  <c r="AL35"/>
  <c r="AH40"/>
  <c r="AM40"/>
  <c r="AG41"/>
  <c r="AL41"/>
  <c r="AE47"/>
  <c r="AG36"/>
  <c r="AL36"/>
  <c r="AH39"/>
  <c r="AM39"/>
  <c r="J32"/>
  <c r="E36" i="10"/>
  <c r="E55"/>
  <c r="R48" i="8"/>
  <c r="R41"/>
  <c r="R44"/>
  <c r="R45"/>
  <c r="R42"/>
  <c r="R49"/>
  <c r="U49"/>
  <c r="DC4" i="11"/>
  <c r="DC5"/>
  <c r="DC6"/>
  <c r="DC7"/>
  <c r="DC8"/>
  <c r="DC9"/>
  <c r="DC10"/>
  <c r="DC11"/>
  <c r="DC12"/>
  <c r="AA16" i="8"/>
  <c r="Z17"/>
  <c r="R50"/>
  <c r="U50"/>
  <c r="AL13"/>
  <c r="AG47"/>
  <c r="AG43"/>
  <c r="AG45"/>
  <c r="AP15"/>
  <c r="AA14"/>
  <c r="AK13"/>
  <c r="AF43"/>
  <c r="AF47"/>
  <c r="AF45"/>
  <c r="AP14"/>
  <c r="AA13"/>
  <c r="AM13"/>
  <c r="AH45"/>
  <c r="AH47"/>
  <c r="AH43"/>
  <c r="AA15"/>
  <c r="U51"/>
  <c r="J33"/>
  <c r="E34" i="10"/>
  <c r="E54"/>
  <c r="AI48" i="8"/>
  <c r="DH3" i="11"/>
  <c r="DH9"/>
  <c r="DH4"/>
  <c r="DH10"/>
  <c r="DH5"/>
  <c r="DH11"/>
  <c r="DH8"/>
  <c r="DH6"/>
  <c r="DH12"/>
  <c r="DH7"/>
  <c r="BG31"/>
  <c r="AM43" i="8"/>
  <c r="AM47"/>
  <c r="AM51"/>
  <c r="AI46"/>
  <c r="AI44"/>
  <c r="Z18"/>
  <c r="AA17"/>
  <c r="AK47"/>
  <c r="AP13"/>
  <c r="AK43"/>
  <c r="AK45"/>
  <c r="AA12"/>
  <c r="AB12"/>
  <c r="AB13"/>
  <c r="AB14"/>
  <c r="AB15"/>
  <c r="AB16"/>
  <c r="AL51"/>
  <c r="AL47"/>
  <c r="AL43"/>
  <c r="J34"/>
  <c r="J35"/>
  <c r="AB17"/>
  <c r="BG32" i="11"/>
  <c r="AK49" i="8"/>
  <c r="K43"/>
  <c r="AA18"/>
  <c r="Z19"/>
  <c r="BH32" i="11"/>
  <c r="J38" i="8"/>
  <c r="D40"/>
  <c r="AB18"/>
  <c r="Z20"/>
  <c r="AA19"/>
  <c r="E39"/>
  <c r="AO12"/>
  <c r="E49" i="10"/>
  <c r="E57"/>
  <c r="A39" i="8"/>
  <c r="AB19"/>
  <c r="AA20"/>
  <c r="Z21"/>
  <c r="AL12"/>
  <c r="AO13"/>
  <c r="AO14"/>
  <c r="AO15"/>
  <c r="AO16"/>
  <c r="AO17"/>
  <c r="AO18"/>
  <c r="AO19"/>
  <c r="AO20"/>
  <c r="AO21"/>
  <c r="AO22"/>
  <c r="AO23"/>
  <c r="AO24"/>
  <c r="AO25"/>
  <c r="AO26"/>
  <c r="AO27"/>
  <c r="AO28"/>
  <c r="AO29"/>
  <c r="AO30"/>
  <c r="AO31"/>
  <c r="AO32"/>
  <c r="AO33"/>
  <c r="AO34"/>
  <c r="AO35"/>
  <c r="AO36"/>
  <c r="AO37"/>
  <c r="AO38"/>
  <c r="AO39"/>
  <c r="AO40"/>
  <c r="AO41"/>
  <c r="AO42"/>
  <c r="AM12"/>
  <c r="AP12"/>
  <c r="AB20"/>
  <c r="Z22"/>
  <c r="AA21"/>
  <c r="AP47"/>
  <c r="AP48"/>
  <c r="AP43"/>
  <c r="AP44"/>
  <c r="AP51"/>
  <c r="AP52"/>
  <c r="AP55"/>
  <c r="K44"/>
  <c r="AM45"/>
  <c r="AM46"/>
  <c r="AE51"/>
  <c r="AM49"/>
  <c r="AM50"/>
  <c r="AE53"/>
  <c r="AE52"/>
  <c r="AM53"/>
  <c r="AM54"/>
  <c r="AL53"/>
  <c r="AL54"/>
  <c r="AL45"/>
  <c r="AL46"/>
  <c r="AL49"/>
  <c r="AL50"/>
  <c r="AB21"/>
  <c r="AA22"/>
  <c r="Z23"/>
  <c r="AE54"/>
  <c r="J40"/>
  <c r="AB22"/>
  <c r="Z24"/>
  <c r="AA23"/>
  <c r="AB23"/>
  <c r="AA24"/>
  <c r="Z25"/>
  <c r="AB24"/>
  <c r="AA25"/>
  <c r="AB25"/>
  <c r="Z26"/>
  <c r="AA26"/>
  <c r="AB26"/>
  <c r="Z27"/>
  <c r="AA27"/>
  <c r="AB27"/>
  <c r="Z28"/>
  <c r="AA28"/>
  <c r="AB28"/>
  <c r="Z29"/>
  <c r="AA29"/>
  <c r="AB29"/>
  <c r="Z30"/>
  <c r="AA30"/>
  <c r="AB30"/>
  <c r="Z31"/>
  <c r="AA31"/>
  <c r="AB31"/>
  <c r="Z32"/>
  <c r="Z42"/>
  <c r="AA32"/>
  <c r="AB32"/>
  <c r="Z33"/>
  <c r="Z34"/>
  <c r="AA33"/>
  <c r="AB33"/>
  <c r="Z35"/>
  <c r="AA34"/>
  <c r="AB34"/>
  <c r="Z36"/>
  <c r="AA35"/>
  <c r="AB35"/>
  <c r="Z37"/>
  <c r="AA36"/>
  <c r="AB36"/>
  <c r="Z43"/>
  <c r="Z38"/>
  <c r="AA37"/>
  <c r="AB37"/>
  <c r="DO3" i="11"/>
  <c r="AA38" i="8"/>
  <c r="AB38"/>
  <c r="Z39"/>
  <c r="DO5" i="11"/>
  <c r="DO4"/>
  <c r="DO6"/>
  <c r="DO7"/>
  <c r="DO8"/>
  <c r="DO9"/>
  <c r="DO12"/>
  <c r="DO10"/>
  <c r="DO11"/>
  <c r="DO13"/>
  <c r="DO14"/>
  <c r="DO15"/>
  <c r="DO16"/>
  <c r="DO17"/>
  <c r="DO18"/>
  <c r="DO19"/>
  <c r="AA39" i="8"/>
  <c r="AB39"/>
  <c r="Z40"/>
  <c r="AA40"/>
  <c r="AB40"/>
  <c r="Z41"/>
  <c r="AA41"/>
  <c r="AB41"/>
  <c r="Z44"/>
  <c r="Z45"/>
  <c r="D44"/>
  <c r="D43"/>
  <c r="BS10" i="1"/>
  <c r="BS13"/>
  <c r="BS12"/>
  <c r="BS11"/>
  <c r="BS9"/>
  <c r="BT12"/>
  <c r="BT11"/>
  <c r="BT16"/>
  <c r="BT9"/>
  <c r="BT17"/>
  <c r="BT18"/>
  <c r="BT19"/>
  <c r="BT20"/>
  <c r="BT21"/>
  <c r="BT22"/>
  <c r="BT23"/>
  <c r="BT24"/>
  <c r="BT25"/>
  <c r="BT26"/>
  <c r="BT27"/>
  <c r="BT28"/>
  <c r="BT29"/>
  <c r="BT30"/>
  <c r="BT31"/>
  <c r="BT32"/>
  <c r="BT33"/>
  <c r="BT34"/>
  <c r="BT35"/>
  <c r="BV35"/>
  <c r="BV16"/>
  <c r="BH10"/>
  <c r="X10"/>
  <c r="P109" i="5"/>
  <c r="BV33" i="1"/>
  <c r="BV30"/>
  <c r="BV27"/>
  <c r="BV24"/>
  <c r="BV21"/>
  <c r="BV18"/>
  <c r="BV34"/>
  <c r="BV31"/>
  <c r="BV28"/>
  <c r="BV17"/>
  <c r="BV25"/>
  <c r="BV22"/>
  <c r="BV19"/>
  <c r="BV32"/>
  <c r="BV29"/>
  <c r="BV26"/>
  <c r="BV23"/>
  <c r="BV20"/>
  <c r="X7"/>
  <c r="AC14"/>
  <c r="C9" i="5"/>
  <c r="AR15" i="1"/>
  <c r="G59" i="5"/>
  <c r="BT10" i="1"/>
  <c r="BW21"/>
  <c r="BI20"/>
  <c r="BI32"/>
  <c r="BI17"/>
  <c r="BI21"/>
  <c r="BI25"/>
  <c r="BI29"/>
  <c r="BI33"/>
  <c r="BI18"/>
  <c r="BI22"/>
  <c r="BI26"/>
  <c r="BI30"/>
  <c r="BI34"/>
  <c r="BI19"/>
  <c r="BI23"/>
  <c r="BI27"/>
  <c r="BI31"/>
  <c r="BI35"/>
  <c r="BI24"/>
  <c r="BI28"/>
  <c r="BI16"/>
  <c r="BH16"/>
  <c r="BG16"/>
  <c r="AQ129"/>
  <c r="AR129"/>
  <c r="BW16"/>
  <c r="BW23"/>
  <c r="BW33"/>
  <c r="BW24"/>
  <c r="BW19"/>
  <c r="BW20"/>
  <c r="BW30"/>
  <c r="BW17"/>
  <c r="BW29"/>
  <c r="BW35"/>
  <c r="BW22"/>
  <c r="BW32"/>
  <c r="BW27"/>
  <c r="BW26"/>
  <c r="BW25"/>
  <c r="BW28"/>
  <c r="BW31"/>
  <c r="BW34"/>
  <c r="BW18"/>
  <c r="M153"/>
  <c r="M1" i="5"/>
  <c r="K1"/>
  <c r="C3"/>
  <c r="K153" i="1"/>
  <c r="I153"/>
  <c r="J153"/>
  <c r="M59" i="5"/>
  <c r="BS16" i="1"/>
  <c r="BS17"/>
  <c r="V17" i="5"/>
  <c r="BS18" i="1"/>
  <c r="BS19"/>
  <c r="BS20"/>
  <c r="CA36"/>
  <c r="BS21"/>
  <c r="CA38"/>
  <c r="BS22"/>
  <c r="CA39"/>
  <c r="BS23"/>
  <c r="CA40"/>
  <c r="BS24"/>
  <c r="CA41"/>
  <c r="BS25"/>
  <c r="CA42"/>
  <c r="BS26"/>
  <c r="AY26"/>
  <c r="BS27"/>
  <c r="AY27"/>
  <c r="BS28"/>
  <c r="AY28"/>
  <c r="BS29"/>
  <c r="AY29"/>
  <c r="BS30"/>
  <c r="AY30"/>
  <c r="BS31"/>
  <c r="Y66"/>
  <c r="Y67"/>
  <c r="Y68"/>
  <c r="Y69"/>
  <c r="Y70"/>
  <c r="Y71"/>
  <c r="Y72"/>
  <c r="Y73"/>
  <c r="Y74"/>
  <c r="Y75"/>
  <c r="Y76"/>
  <c r="Y77"/>
  <c r="Y78"/>
  <c r="Y79"/>
  <c r="Y80"/>
  <c r="Y81"/>
  <c r="Y82"/>
  <c r="Y83"/>
  <c r="Y84"/>
  <c r="Y85"/>
  <c r="Y86"/>
  <c r="Y87"/>
  <c r="Y88"/>
  <c r="Y65"/>
  <c r="AY31"/>
  <c r="BS32"/>
  <c r="AY32"/>
  <c r="BS33"/>
  <c r="Y57"/>
  <c r="Y58"/>
  <c r="Y59"/>
  <c r="Y60"/>
  <c r="Y61"/>
  <c r="Y62"/>
  <c r="Y63"/>
  <c r="Y64"/>
  <c r="AY33"/>
  <c r="BS34"/>
  <c r="AY34"/>
  <c r="BS35"/>
  <c r="D97"/>
  <c r="D90"/>
  <c r="D91"/>
  <c r="D92"/>
  <c r="D103"/>
  <c r="D104"/>
  <c r="D106"/>
  <c r="D107"/>
  <c r="D108"/>
  <c r="D109"/>
  <c r="D110"/>
  <c r="D111"/>
  <c r="D112"/>
  <c r="D113"/>
  <c r="D114"/>
  <c r="D67"/>
  <c r="D66"/>
  <c r="D65"/>
  <c r="D64"/>
  <c r="D68"/>
  <c r="D69"/>
  <c r="D70"/>
  <c r="D71"/>
  <c r="D72"/>
  <c r="D73"/>
  <c r="D74"/>
  <c r="D75"/>
  <c r="D76"/>
  <c r="D77"/>
  <c r="D78"/>
  <c r="D79"/>
  <c r="D80"/>
  <c r="D81"/>
  <c r="D82"/>
  <c r="D63"/>
  <c r="D58"/>
  <c r="D62"/>
  <c r="D54"/>
  <c r="D42"/>
  <c r="D30"/>
  <c r="I15" i="5"/>
  <c r="K15"/>
  <c r="G15"/>
  <c r="E15"/>
  <c r="M15"/>
  <c r="C15"/>
  <c r="AY35" i="1"/>
  <c r="N11"/>
  <c r="M7" i="5"/>
  <c r="K11" i="1"/>
  <c r="M11"/>
  <c r="K7" i="5"/>
  <c r="S10" i="1"/>
  <c r="BO10"/>
  <c r="O10"/>
  <c r="BK10"/>
  <c r="R10"/>
  <c r="N10"/>
  <c r="Q10"/>
  <c r="BM10"/>
  <c r="T10"/>
  <c r="P10"/>
  <c r="T11"/>
  <c r="R11"/>
  <c r="P11"/>
  <c r="AY36"/>
  <c r="E7" i="5"/>
  <c r="I7"/>
  <c r="G7"/>
  <c r="L5" i="1"/>
  <c r="K5" i="5"/>
  <c r="M5"/>
  <c r="I5"/>
  <c r="G5"/>
  <c r="E5"/>
  <c r="C5"/>
  <c r="G11"/>
  <c r="Q11" i="1"/>
  <c r="C11" i="5"/>
  <c r="O11" i="1"/>
  <c r="K11" i="5"/>
  <c r="S11" i="1"/>
  <c r="D98"/>
  <c r="D83"/>
  <c r="D84"/>
  <c r="D93"/>
  <c r="D85"/>
  <c r="K13" i="5"/>
  <c r="BO11" i="1"/>
  <c r="G13" i="5"/>
  <c r="BM11" i="1"/>
  <c r="C13" i="5"/>
  <c r="BK11" i="1"/>
  <c r="I13" i="5"/>
  <c r="BN11" i="1"/>
  <c r="E13" i="5"/>
  <c r="BL11" i="1"/>
  <c r="M13" i="5"/>
  <c r="BP11" i="1"/>
  <c r="AY37"/>
  <c r="I6"/>
  <c r="D94"/>
  <c r="D99"/>
  <c r="D86"/>
  <c r="C7" i="5"/>
  <c r="AY38" i="1"/>
  <c r="D88"/>
  <c r="D89"/>
  <c r="D95"/>
  <c r="D96"/>
  <c r="D100"/>
  <c r="AY39"/>
  <c r="D101"/>
  <c r="D102"/>
  <c r="AY41"/>
  <c r="AY40"/>
  <c r="B36" i="10"/>
  <c r="D55"/>
  <c r="K5" i="1"/>
  <c r="J7"/>
  <c r="M7"/>
  <c r="I59" i="5"/>
  <c r="E51"/>
  <c r="B45" i="10"/>
  <c r="D56"/>
  <c r="B50"/>
  <c r="CB16" i="1"/>
  <c r="CB17"/>
  <c r="CB19"/>
  <c r="CB18"/>
  <c r="CB20"/>
  <c r="CB21"/>
  <c r="CB22"/>
  <c r="CB23"/>
  <c r="CB24"/>
  <c r="CB25"/>
  <c r="CB26"/>
  <c r="CB27"/>
  <c r="CB28"/>
  <c r="CB29"/>
  <c r="CB30"/>
  <c r="CB31"/>
  <c r="CB32"/>
  <c r="CB33"/>
  <c r="CB34"/>
  <c r="CB35"/>
  <c r="CB36"/>
  <c r="CB38"/>
  <c r="CB39"/>
  <c r="CB40"/>
  <c r="CB41"/>
  <c r="CB42"/>
  <c r="L12"/>
  <c r="C17" i="5"/>
  <c r="L79"/>
  <c r="L109"/>
  <c r="BL4" i="1"/>
  <c r="H79" i="5"/>
  <c r="N6" i="1"/>
  <c r="BK15"/>
  <c r="CB37"/>
  <c r="CB43"/>
  <c r="AF14"/>
  <c r="BN15"/>
  <c r="BM15"/>
  <c r="BL15"/>
  <c r="BP15"/>
  <c r="BO15"/>
  <c r="I83" i="5"/>
  <c r="AN29" i="1"/>
  <c r="C86" i="5"/>
  <c r="AN21" i="1"/>
  <c r="C84" i="5"/>
  <c r="AN37" i="1"/>
  <c r="C88" i="5"/>
  <c r="AN33" i="1"/>
  <c r="C87" i="5"/>
  <c r="AN25" i="1"/>
  <c r="C85" i="5"/>
  <c r="B47" i="10"/>
  <c r="Q83" i="5"/>
  <c r="Q84"/>
  <c r="I84"/>
  <c r="Q85"/>
  <c r="I85"/>
  <c r="Q86"/>
  <c r="I86"/>
  <c r="Q87"/>
  <c r="I87"/>
  <c r="Q88"/>
  <c r="I88"/>
  <c r="Q89"/>
  <c r="C89"/>
  <c r="I89"/>
  <c r="Q90"/>
  <c r="AN45" i="1"/>
  <c r="C90" i="5"/>
  <c r="I90"/>
  <c r="Q91"/>
  <c r="AN49" i="1"/>
  <c r="C91" i="5"/>
  <c r="I91"/>
  <c r="Q92"/>
  <c r="AN53" i="1"/>
  <c r="C92" i="5"/>
  <c r="I92"/>
  <c r="Q93"/>
  <c r="AN57" i="1"/>
  <c r="C93" i="5"/>
  <c r="I93"/>
  <c r="Q94"/>
  <c r="AN61" i="1"/>
  <c r="C94" i="5"/>
  <c r="I94"/>
  <c r="Q95"/>
  <c r="AN65" i="1"/>
  <c r="C95" i="5"/>
  <c r="I95"/>
  <c r="Q96"/>
  <c r="AN69" i="1"/>
  <c r="C96" i="5"/>
  <c r="I96"/>
  <c r="AN73" i="1"/>
  <c r="C97" i="5"/>
  <c r="Q97"/>
  <c r="I97"/>
  <c r="Q98"/>
  <c r="AN77" i="1"/>
  <c r="C98" i="5"/>
  <c r="I98"/>
  <c r="Q99"/>
  <c r="AN81" i="1"/>
  <c r="C99" i="5"/>
  <c r="I99"/>
  <c r="Q100"/>
  <c r="AN85" i="1"/>
  <c r="C100" i="5"/>
  <c r="I100"/>
  <c r="Q101"/>
  <c r="AN89" i="1"/>
  <c r="C101" i="5"/>
  <c r="I101"/>
  <c r="Q102"/>
  <c r="I102"/>
  <c r="AN93" i="1"/>
  <c r="C102" i="5"/>
  <c r="AM97" i="1"/>
  <c r="Q103" i="5"/>
  <c r="Q104"/>
  <c r="Q105"/>
  <c r="Q106"/>
  <c r="Q107"/>
  <c r="Q108"/>
  <c r="Q109"/>
  <c r="AN97" i="1"/>
  <c r="C103" i="5"/>
  <c r="AJ98" i="1"/>
  <c r="AM98"/>
  <c r="AL98"/>
  <c r="I103" i="5"/>
  <c r="E74"/>
  <c r="AK98" i="1"/>
  <c r="AL99"/>
  <c r="AM99"/>
  <c r="AJ99"/>
  <c r="AM100"/>
  <c r="AJ100"/>
  <c r="AL100"/>
  <c r="M66" i="5"/>
  <c r="M70"/>
  <c r="I61"/>
  <c r="BT13" i="1"/>
  <c r="M68" i="5"/>
  <c r="M72"/>
  <c r="B49" i="10"/>
  <c r="AK99" i="1"/>
  <c r="D57" i="10"/>
  <c r="BU18" i="1"/>
  <c r="BU22"/>
  <c r="BU26"/>
  <c r="BU30"/>
  <c r="BU34"/>
  <c r="BU19"/>
  <c r="BU23"/>
  <c r="BU27"/>
  <c r="BU31"/>
  <c r="BU35"/>
  <c r="BU20"/>
  <c r="BU24"/>
  <c r="BU28"/>
  <c r="BU32"/>
  <c r="BU16"/>
  <c r="BU17"/>
  <c r="BU21"/>
  <c r="BU25"/>
  <c r="BU29"/>
  <c r="BU33"/>
  <c r="AM101"/>
  <c r="AJ101"/>
  <c r="AN101"/>
  <c r="AL101"/>
  <c r="AP101"/>
  <c r="AK100"/>
  <c r="AK101"/>
  <c r="AO101"/>
  <c r="AM102"/>
  <c r="AJ102"/>
  <c r="AL102"/>
  <c r="AK102"/>
  <c r="AJ103"/>
  <c r="AL103"/>
  <c r="AM103"/>
  <c r="AL104"/>
  <c r="AM104"/>
  <c r="AJ104"/>
  <c r="AK103"/>
  <c r="AK104"/>
  <c r="AM105"/>
  <c r="AL105"/>
  <c r="AP105"/>
  <c r="AJ105"/>
  <c r="AN105"/>
  <c r="AM106"/>
  <c r="AJ106"/>
  <c r="AL106"/>
  <c r="AK105"/>
  <c r="AO105"/>
  <c r="AK106"/>
  <c r="AJ107"/>
  <c r="AL107"/>
  <c r="AM107"/>
  <c r="AJ108"/>
  <c r="AL108"/>
  <c r="AM108"/>
  <c r="AK107"/>
  <c r="AK108"/>
  <c r="AM109"/>
  <c r="AL109"/>
  <c r="AP109"/>
  <c r="AJ109"/>
  <c r="AK109"/>
  <c r="AO109"/>
  <c r="AN109"/>
  <c r="AL110"/>
  <c r="AJ110"/>
  <c r="AM110"/>
  <c r="AM111"/>
  <c r="AL111"/>
  <c r="AJ111"/>
  <c r="AK110"/>
  <c r="AK111"/>
  <c r="AL112"/>
  <c r="AM112"/>
  <c r="AJ112"/>
  <c r="AK112"/>
  <c r="AM113"/>
  <c r="AJ113"/>
  <c r="AL113"/>
  <c r="AP113"/>
  <c r="AK113"/>
  <c r="AO113"/>
  <c r="AN113"/>
  <c r="AL114"/>
  <c r="AM114"/>
  <c r="AJ114"/>
  <c r="AM115"/>
  <c r="AJ115"/>
  <c r="AL115"/>
  <c r="AK114"/>
  <c r="AK115"/>
  <c r="AM116"/>
  <c r="AL116"/>
  <c r="AJ116"/>
  <c r="AJ117"/>
  <c r="AN117"/>
  <c r="AM117"/>
  <c r="AL117"/>
  <c r="AP117"/>
  <c r="AK116"/>
  <c r="AK117"/>
  <c r="AO117"/>
</calcChain>
</file>

<file path=xl/comments1.xml><?xml version="1.0" encoding="utf-8"?>
<comments xmlns="http://schemas.openxmlformats.org/spreadsheetml/2006/main">
  <authors>
    <author>Helgo Schütze</author>
    <author>Helgo Schuetze</author>
    <author>Ein geschätzter Microsoft Office Anwender</author>
  </authors>
  <commentList>
    <comment ref="AI12" authorId="0">
      <text>
        <r>
          <rPr>
            <b/>
            <sz val="9"/>
            <color indexed="81"/>
            <rFont val="Tahoma"/>
            <family val="2"/>
          </rPr>
          <t>Helgo Schütze:</t>
        </r>
        <r>
          <rPr>
            <sz val="9"/>
            <color indexed="81"/>
            <rFont val="Tahoma"/>
            <family val="2"/>
          </rPr>
          <t xml:space="preserve">
Strompreissteigerung pauschal</t>
        </r>
      </text>
    </comment>
    <comment ref="J26" authorId="0">
      <text>
        <r>
          <rPr>
            <b/>
            <sz val="11"/>
            <color indexed="81"/>
            <rFont val="Tahoma"/>
            <family val="2"/>
          </rPr>
          <t>Für die Errichtung einer Solarthermieanlage in einem effizient gedämmten Gebäude. Effizient im Sinne dieser Vorschrift sind Wohngebäude, die die
Anforderungen an ein KfW-Effizienzhaus 55 erfüllen.</t>
        </r>
      </text>
    </comment>
    <comment ref="K35" authorId="0">
      <text>
        <r>
          <rPr>
            <b/>
            <sz val="11"/>
            <color indexed="81"/>
            <rFont val="Tahoma"/>
            <family val="2"/>
          </rPr>
          <t>Was wird gefördert?</t>
        </r>
        <r>
          <rPr>
            <b/>
            <sz val="10"/>
            <color indexed="81"/>
            <rFont val="Tahoma"/>
            <family val="2"/>
          </rPr>
          <t xml:space="preserve">
* Gefördert wird der Austausch einer oder mehreren besonders ineffizienten Altanlagen durch eine moderne Biomasseanlage oder Wärmepumpe bzw. durch die Integration einer heizungsunterstützenden Solarthermieanlage wird diese Anlage modernisiert.
* Den Zusatzbonus erhalten Sie, wenn Ihnen für die Installation Ihrer neuen Heizungsanlage eine MAP-Förderung nach den Richtlinien zur Förderung von Maßnahmen zur Nutzung erneuerbarer Energien im Wärmemarkt gewährt wird.
* Der Heizungsaustausch muss mit einer Optimierung der gesamten Heizungsanlage kombiniert werden.
</t>
        </r>
        <r>
          <rPr>
            <b/>
            <sz val="11"/>
            <color indexed="81"/>
            <rFont val="Tahoma"/>
            <family val="2"/>
          </rPr>
          <t>Was wird gefordert?</t>
        </r>
        <r>
          <rPr>
            <b/>
            <sz val="10"/>
            <color indexed="81"/>
            <rFont val="Tahoma"/>
            <family val="2"/>
          </rPr>
          <t xml:space="preserve">
Die zu ersetzende Heizungsanlage muss auf Basis fossiler Energien (z. B. Gas oder Öl) betrieben worden sein und diese darf keine Brennwerttechnik oder Brennstoffzellentechnologie genutzt haben. Weiterhin darf kein Fall der gesetzlichen Austauschpflicht nach §10 der Energieeinsparverordnung (EnEV) vorliegen.
Zusätzlich zum Austausch der alten Anlage muss das gesamte Heizungssystem optimiert werden. Dabei sind folgende Schritte durchzuführen:
Bestandsaufnahme und Analyse des Ist-Zustandes (z. B. nach DIN EN 15378),
Durchführung des hydraulischen Abgleichs und
Umsetzung aller erforderlichen Maßnahmen zur Verbesserung der Energieeffizienz am gesamten Heizungssystem (z. B. die Optimierung der Heizkurve, die Anpassung der Vorlauftemperatur und der Pumpenleistung sowie der Einsatz von Einzelraumregler).</t>
        </r>
      </text>
    </comment>
    <comment ref="D36" authorId="1">
      <text>
        <r>
          <rPr>
            <b/>
            <sz val="10"/>
            <color indexed="81"/>
            <rFont val="Tahoma"/>
            <family val="2"/>
          </rPr>
          <t>Kosten, die für eine Erneuerung des Brauchwasserspeichers ohne Solaranlage angefallen wären</t>
        </r>
      </text>
    </comment>
    <comment ref="D37" authorId="1">
      <text>
        <r>
          <rPr>
            <b/>
            <sz val="10"/>
            <color indexed="81"/>
            <rFont val="Tahoma"/>
            <family val="2"/>
          </rPr>
          <t xml:space="preserve">Brennstoffeinsparung z.B. ermittelt mit T-Sol Simulationsprogramm
</t>
        </r>
      </text>
    </comment>
    <comment ref="D38" authorId="2">
      <text>
        <r>
          <rPr>
            <b/>
            <sz val="10"/>
            <color indexed="81"/>
            <rFont val="Tahoma"/>
            <family val="2"/>
          </rPr>
          <t>Für jedes solar gespeiste Elektrogerät (Waschmaschine / Geschirrspüler) werden pauschal 50 EUR p.a.. Stromkosteneinsparung gutgeschrieben</t>
        </r>
        <r>
          <rPr>
            <b/>
            <sz val="8"/>
            <color indexed="81"/>
            <rFont val="Tahoma"/>
            <family val="2"/>
          </rPr>
          <t xml:space="preserve">
</t>
        </r>
      </text>
    </comment>
    <comment ref="J44" authorId="1">
      <text>
        <r>
          <rPr>
            <b/>
            <sz val="10"/>
            <color indexed="81"/>
            <rFont val="Tahoma"/>
            <family val="2"/>
          </rPr>
          <t>Rendite durch Energiekosteneinsparungen, bezogen auf die Solar-Investition (Anlagenkosten abzüglich Fördermittel und Modernisierungskosten Standard-Brauchwasserspeicher)</t>
        </r>
        <r>
          <rPr>
            <b/>
            <sz val="8"/>
            <color indexed="81"/>
            <rFont val="Tahoma"/>
            <family val="2"/>
          </rPr>
          <t xml:space="preserve">
</t>
        </r>
      </text>
    </comment>
    <comment ref="L71" authorId="1">
      <text>
        <r>
          <rPr>
            <b/>
            <sz val="8"/>
            <color indexed="81"/>
            <rFont val="Tahoma"/>
            <family val="2"/>
          </rPr>
          <t>wirkst sich in der Berechnung auf die WBR-Kosten aus</t>
        </r>
      </text>
    </comment>
  </commentList>
</comments>
</file>

<file path=xl/comments2.xml><?xml version="1.0" encoding="utf-8"?>
<comments xmlns="http://schemas.openxmlformats.org/spreadsheetml/2006/main">
  <authors>
    <author>Helgo Schütze</author>
    <author>Helgo Schuetze</author>
  </authors>
  <commentList>
    <comment ref="O1" authorId="0">
      <text>
        <r>
          <rPr>
            <sz val="11"/>
            <color indexed="81"/>
            <rFont val="Tahoma"/>
            <family val="2"/>
          </rPr>
          <t>Gesetz für den Ausbau erneuerbarer Energien (Erneuerbare-Energien-Gesetz - EEG 2014)
§ 31 Absenkung der Förderung für Strom aus solarer Strahlungsenergie
(1) Der Zielkorridor für den Brutto-Zubau von Anlagen zur Erzeugung von Strom aus solarer Strahlungsenergie beträgt 2 400 bis 2 600 Megawatt pro Jahr.
(2) Die anzulegenden Werte nach § 51 verringern sich ab dem 1. September 2014 monatlich zum ersten Kalendertag eines Monats um 0,5 Prozent gegenüber den in dem jeweils vorangegangenen Kalendermonat geltenden anzulegenden Werten. Die monatliche Absenkung nach Satz 1 erhöht oder verringert sich jeweils zum 1. Januar, 1. April, 1. Juli und 1. Oktober jedes Jahres nach Maßgabe der Absätze 3 und 4.
(3) Die monatliche Absenkung der anzulegenden Werte nach Absatz 2 Satz 2 erhöht sich, wenn der nach § 26 Absatz 2 Nummer 3 veröffentlichte Brutto-Zubau von Anlagen zur Erzeugung von Strom aus solarer Strahlungsenergie in dem gesamten Bezugszeitraum nach Absatz 5 den Zielkorridor nach Absatz 1
1. um bis zu 900 Megawatt überschreitet, auf 1,00 Prozent,
2. um mehr als 900 Megawatt überschreitet, auf 1,40 Prozent,
3. um mehr als 1 900 Megawatt überschreitet, auf 1,80 Prozent,
4. um mehr als 2 900 Megawatt überschreitet, auf 2,20 Prozent,
5. um mehr als 3 900 Megawatt überschreitet, auf 2,50 Prozent oder
6. um mehr als 4 900 Megawatt überschreitet, auf 2,80 Prozent.
(4) Die monatliche Absenkung der anzulegenden Werte nach Absatz 2 Satz 2 verringert sich, wenn der nach § 26 Absatz 2 Nummer 3 veröffentlichte Brutto-Zubau von Anlagen zur Erzeugung von Strom aus solarer Strahlungsenergie in dem gesamten Bezugszeitraum nach Absatz 5 den Zielkorridor nach Absatz 1
1. um bis zu 900 Megawatt unterschreitet, auf 0,25 Prozent,
2. um mehr als 900 Megawatt unterschreitet, auf null oder
3. um mehr als 1 400 Megawatt unterschreitet, auf null; die anzulegenden Werte nach § 51 erhöhen sich zum ersten Kalendertag des jeweiligen Quartals einmalig um 1,50 Prozent.
(5) Bezugszeitraum ist der Zeitraum nach dem letzten Kalendertag des 14. Monats und vor dem ersten Kalendertag des letzten Monats, der einem Zeitpunkt nach Absatz 2 vorangeht.
(6) Wenn die Summe der installierten Leistung geförderter Anlagen zur Erzeugung von Strom aus solarer Strahlungsenergie erstmals den Wert 52 000 Megawatt überschreitet, verringern sich die anzulegenden Werte nach § 51 zum ersten Kalendertag des zweiten auf die Überschreitung folgenden Kalendermonats auf null. Geförderte Anlagen sind alle Anlagen zur Erzeugung von Strom aus solarer Strahlungsenergie,
1. die nach Maßgabe der Rechtsverordnung nach § 93 als geförderte Anlage registriert worden sind,
2. für die der Standort und die installierte Leistung nach § 16 Absatz 2 Satz 2 des Erneuerbare-Energien-Gesetzes in der am 31. Dezember 2011 geltenden Fassung, nach § 17 Absatz 2 Nummer 1 Buchstabe a des Erneuerbare-Energien-Gesetzes in der am 31. März 2012 geltenden Fassung oder nach § 17 Absatz 2 Nummer 1 Buchstabe a des Erneuerbare-Energien-Gesetzes in der am 31. Juli 2014 geltenden Fassung an die Bundesnetzagentur übermittelt worden sind oder
3. die vor dem 1. Januar 2010 in Betrieb genommen worden sind; die Summe der installierten Leistung ist von der Bundesnetzagentur unter Berücksichtigung der Meldungen in ihrem Photovoltaik-Meldeportal und der Daten der Übertragungsnetzbetreiber und des Statistischen Bundesamtes zu schätzen.</t>
        </r>
      </text>
    </comment>
    <comment ref="G21" authorId="0">
      <text>
        <r>
          <rPr>
            <sz val="11"/>
            <color indexed="81"/>
            <rFont val="Tahoma"/>
            <family val="2"/>
          </rPr>
          <t>Durchschnittliche jährliche Strompreiserhöhung in %</t>
        </r>
      </text>
    </comment>
    <comment ref="E23" authorId="0">
      <text>
        <r>
          <rPr>
            <sz val="11"/>
            <color indexed="81"/>
            <rFont val="Tahoma"/>
            <family val="2"/>
          </rPr>
          <t>Strombezugspreises in ct / kWh.</t>
        </r>
      </text>
    </comment>
    <comment ref="G23" authorId="0">
      <text>
        <r>
          <rPr>
            <sz val="11"/>
            <color indexed="81"/>
            <rFont val="Tahoma"/>
            <family val="2"/>
          </rPr>
          <t>Nach auslaufen der gesetzlichen Einspeisevergütung zu erzielender Strompreis für die Überschusseinspeisung</t>
        </r>
      </text>
    </comment>
    <comment ref="K23" authorId="0">
      <text>
        <r>
          <rPr>
            <sz val="11"/>
            <color indexed="81"/>
            <rFont val="Tahoma"/>
            <family val="2"/>
          </rPr>
          <t>Ist die Umlage nach EEG ab 01.08.2014 für den selbst verbrauchten Strom ab Anlageninstallationen &gt; 10kWp bzw &gt;10MWh/a.
Hier bitte die gesamte gültige EEG-Umlage eintragen. Das Tool berechnet die Prozentuale Verteilung selbst.</t>
        </r>
      </text>
    </comment>
    <comment ref="K31" authorId="1">
      <text>
        <r>
          <rPr>
            <sz val="11"/>
            <color indexed="81"/>
            <rFont val="Tahoma"/>
            <family val="2"/>
          </rPr>
          <t>Anlagenkosten:
Material, Montage, Zählerplatz usw., ohne Stromspeichersystem</t>
        </r>
      </text>
    </comment>
    <comment ref="C33" authorId="0">
      <text>
        <r>
          <rPr>
            <sz val="11"/>
            <color indexed="81"/>
            <rFont val="Tahoma"/>
            <family val="2"/>
          </rPr>
          <t>Simulierter Ertrag in kWh / kWp, z.Bsp. durch PVSol</t>
        </r>
      </text>
    </comment>
    <comment ref="C35" authorId="0">
      <text>
        <r>
          <rPr>
            <sz val="11"/>
            <color indexed="81"/>
            <rFont val="Tahoma"/>
            <family val="2"/>
          </rPr>
          <t>Die Berechnung der Degradation erfolgt nach dem Potenzgesetz. Hierbei werden für die Module folgende Werte als Standard gegeben: Leistungsgarantie 25 Jahre auf 80% der Nennleistung (Meßtoleranzen werden nicht berücksichtigt).</t>
        </r>
      </text>
    </comment>
    <comment ref="C37" authorId="0">
      <text>
        <r>
          <rPr>
            <sz val="11"/>
            <color indexed="81"/>
            <rFont val="Tahoma"/>
            <family val="2"/>
          </rPr>
          <t>wiederkehrende jährliche Kosten, z.Bsp. Zählermiete, Versicherung, Wartung, ...</t>
        </r>
      </text>
    </comment>
    <comment ref="M55" authorId="1">
      <text>
        <r>
          <rPr>
            <b/>
            <sz val="11"/>
            <color indexed="10"/>
            <rFont val="Tahoma"/>
            <family val="2"/>
          </rPr>
          <t>ACHTUNG! Dieses Feld ist nicht gesperrt. Eine Eingabe löscht die hinterlegte Formel.</t>
        </r>
      </text>
    </comment>
    <comment ref="I57" authorId="1">
      <text>
        <r>
          <rPr>
            <sz val="11"/>
            <color indexed="81"/>
            <rFont val="Tahoma"/>
            <family val="2"/>
          </rPr>
          <t>Generatorertrag nach Abzug des Anteiles an selbst genutzten PV-Strom bzw. 90% Regelung für Anlagen zwischen 10kWp und 1MWp, beginnend zum 01.01.2014.</t>
        </r>
      </text>
    </comment>
    <comment ref="M57" authorId="0">
      <text>
        <r>
          <rPr>
            <sz val="11"/>
            <color indexed="81"/>
            <rFont val="Tahoma"/>
            <family val="2"/>
          </rPr>
          <t>Verhältnis von Eigenverbrauch zu Generatorertrag</t>
        </r>
      </text>
    </comment>
    <comment ref="M59" authorId="1">
      <text>
        <r>
          <rPr>
            <sz val="11"/>
            <color indexed="81"/>
            <rFont val="Tahoma"/>
            <family val="2"/>
          </rPr>
          <t>Verhältnis von Eigenverbrauch zu Jahres-Stromverbrauch</t>
        </r>
      </text>
    </comment>
    <comment ref="I61" authorId="1">
      <text>
        <r>
          <rPr>
            <sz val="11"/>
            <color indexed="81"/>
            <rFont val="Tahoma"/>
            <family val="2"/>
          </rPr>
          <t xml:space="preserve">Ausgaben / Investition gesamt durch Generatorertrag von 20 Jahre.
</t>
        </r>
      </text>
    </comment>
    <comment ref="O82" authorId="0">
      <text>
        <r>
          <rPr>
            <sz val="11"/>
            <color indexed="81"/>
            <rFont val="Tahoma"/>
            <family val="2"/>
          </rPr>
          <t>In dieser Berechnung ist die Abgabe auf die EEG-Umlage für selbst verbreuchten Strom für Anlagen &gt;10kWp bereits in Abzug gebracht. Gültig ab 01.08.2014. Die Prozentuale Veränderung in den Folgejahren wird berücksichtigt.</t>
        </r>
      </text>
    </comment>
    <comment ref="Q83" authorId="1">
      <text>
        <r>
          <rPr>
            <sz val="11"/>
            <color indexed="81"/>
            <rFont val="Tahoma"/>
            <family val="2"/>
          </rPr>
          <t>Erträge aus den restlichen Monaten im Montagejahr, inkl. Berücksichtigung des gesparten Strombezuges.</t>
        </r>
      </text>
    </comment>
  </commentList>
</comments>
</file>

<file path=xl/comments3.xml><?xml version="1.0" encoding="utf-8"?>
<comments xmlns="http://schemas.openxmlformats.org/spreadsheetml/2006/main">
  <authors>
    <author>Helgo Schütze</author>
  </authors>
  <commentList>
    <comment ref="C2" authorId="0">
      <text>
        <r>
          <rPr>
            <b/>
            <sz val="8"/>
            <color indexed="81"/>
            <rFont val="Tahoma"/>
            <family val="2"/>
          </rPr>
          <t>Tragen Sie hier den Stromverbrauch des Objektes ein, für das Sie ein Speichersystem auslegen wollen.</t>
        </r>
      </text>
    </comment>
    <comment ref="C3" authorId="0">
      <text>
        <r>
          <rPr>
            <b/>
            <sz val="8"/>
            <color indexed="81"/>
            <rFont val="Tahoma"/>
            <family val="2"/>
          </rPr>
          <t>Der für die Gegend typische Solarstromertrag, ist natürlich von verschiedenen Faktoren abhängig, wie z.Bsp. Dachschräge, Ausrichtung, Modultyp, geografische Region, usw.</t>
        </r>
      </text>
    </comment>
    <comment ref="F3" authorId="0">
      <text>
        <r>
          <rPr>
            <sz val="9"/>
            <color indexed="81"/>
            <rFont val="Tahoma"/>
            <family val="2"/>
          </rPr>
          <t>Sollte hier der Fehler "#NV" erscheinen, so liegt die Auslegung ausserhalb der möglichen Berechnung</t>
        </r>
      </text>
    </comment>
    <comment ref="C5" authorId="0">
      <text>
        <r>
          <rPr>
            <b/>
            <sz val="8"/>
            <color indexed="81"/>
            <rFont val="Tahoma"/>
            <family val="2"/>
          </rPr>
          <t>Über den Faktor bestimmen Sie die Eigenverbrauchsnutzung Tag / Nacht. 
1  - den ganzen Tag im Haus und viel Eienverbrauch am Tag
1,3 - Tag-/Nachtverbrauch ist annähernd gleich
1,6 - sehr viel Nutzung in den Abend- / Nachtstunden</t>
        </r>
      </text>
    </comment>
    <comment ref="C9" authorId="0">
      <text>
        <r>
          <rPr>
            <sz val="9"/>
            <color indexed="81"/>
            <rFont val="Tahoma"/>
            <family val="2"/>
          </rPr>
          <t>AHI - Aqueous Hybrid Ion (wässrige Natrium-Ionen) 
AGM - Absorbent Glass Mat (Blei-Vlies)
LMO - lithium manganese oxide
NMC - lithium nickel manganese cobalt oxide
LiFePO - Lithium Eisen Phosphate
LMC - Lithium Mangan Cobald</t>
        </r>
      </text>
    </comment>
  </commentList>
</comments>
</file>

<file path=xl/comments4.xml><?xml version="1.0" encoding="utf-8"?>
<comments xmlns="http://schemas.openxmlformats.org/spreadsheetml/2006/main">
  <authors>
    <author>Helgo Schütze</author>
  </authors>
  <commentList>
    <comment ref="I58" authorId="0">
      <text>
        <r>
          <rPr>
            <sz val="9"/>
            <color indexed="81"/>
            <rFont val="Tahoma"/>
            <family val="2"/>
          </rPr>
          <t>80%</t>
        </r>
      </text>
    </comment>
    <comment ref="J58" authorId="0">
      <text>
        <r>
          <rPr>
            <b/>
            <sz val="9"/>
            <color indexed="81"/>
            <rFont val="Tahoma"/>
            <family val="2"/>
          </rPr>
          <t>90%</t>
        </r>
      </text>
    </comment>
    <comment ref="K58" authorId="0">
      <text>
        <r>
          <rPr>
            <b/>
            <sz val="9"/>
            <color indexed="81"/>
            <rFont val="Tahoma"/>
            <family val="2"/>
          </rPr>
          <t>100%</t>
        </r>
      </text>
    </comment>
    <comment ref="I59" authorId="0">
      <text>
        <r>
          <rPr>
            <sz val="9"/>
            <color indexed="81"/>
            <rFont val="Tahoma"/>
            <family val="2"/>
          </rPr>
          <t>80%</t>
        </r>
      </text>
    </comment>
    <comment ref="J59" authorId="0">
      <text>
        <r>
          <rPr>
            <b/>
            <sz val="9"/>
            <color indexed="81"/>
            <rFont val="Tahoma"/>
            <family val="2"/>
          </rPr>
          <t>90%</t>
        </r>
      </text>
    </comment>
    <comment ref="K59" authorId="0">
      <text>
        <r>
          <rPr>
            <b/>
            <sz val="9"/>
            <color indexed="81"/>
            <rFont val="Tahoma"/>
            <family val="2"/>
          </rPr>
          <t>100%</t>
        </r>
      </text>
    </comment>
    <comment ref="I60" authorId="0">
      <text>
        <r>
          <rPr>
            <sz val="9"/>
            <color indexed="81"/>
            <rFont val="Tahoma"/>
            <family val="2"/>
          </rPr>
          <t>80%</t>
        </r>
      </text>
    </comment>
    <comment ref="J60" authorId="0">
      <text>
        <r>
          <rPr>
            <b/>
            <sz val="9"/>
            <color indexed="81"/>
            <rFont val="Tahoma"/>
            <family val="2"/>
          </rPr>
          <t>90%</t>
        </r>
      </text>
    </comment>
    <comment ref="K60" authorId="0">
      <text>
        <r>
          <rPr>
            <b/>
            <sz val="9"/>
            <color indexed="81"/>
            <rFont val="Tahoma"/>
            <family val="2"/>
          </rPr>
          <t>100%</t>
        </r>
      </text>
    </comment>
  </commentList>
</comments>
</file>

<file path=xl/comments5.xml><?xml version="1.0" encoding="utf-8"?>
<comments xmlns="http://schemas.openxmlformats.org/spreadsheetml/2006/main">
  <authors>
    <author>Helgo Schütze</author>
  </authors>
  <commentList>
    <comment ref="AC23" authorId="0">
      <text>
        <r>
          <rPr>
            <b/>
            <sz val="9"/>
            <color indexed="81"/>
            <rFont val="Tahoma"/>
            <family val="2"/>
          </rPr>
          <t>Helgo Schütze:</t>
        </r>
        <r>
          <rPr>
            <sz val="9"/>
            <color indexed="81"/>
            <rFont val="Tahoma"/>
            <family val="2"/>
          </rPr>
          <t xml:space="preserve">
3 s</t>
        </r>
      </text>
    </comment>
    <comment ref="AC43" authorId="0">
      <text>
        <r>
          <rPr>
            <sz val="9"/>
            <color indexed="81"/>
            <rFont val="Tahoma"/>
            <family val="2"/>
          </rPr>
          <t>3 Sekunden</t>
        </r>
      </text>
    </comment>
  </commentList>
</comments>
</file>

<file path=xl/sharedStrings.xml><?xml version="1.0" encoding="utf-8"?>
<sst xmlns="http://schemas.openxmlformats.org/spreadsheetml/2006/main" count="1133" uniqueCount="588">
  <si>
    <t>Tabelle Fördersätze</t>
  </si>
  <si>
    <t>Eispeisung</t>
  </si>
  <si>
    <t>Jahr</t>
  </si>
  <si>
    <t>Monat</t>
  </si>
  <si>
    <t>Reduzierung Einspeisevergütung um ? %</t>
  </si>
  <si>
    <t>bis 30 kWp</t>
  </si>
  <si>
    <t>Speicherförderprogramm 275  2013</t>
  </si>
  <si>
    <t>Nachrüstung</t>
  </si>
  <si>
    <t>max. 30 kWp</t>
  </si>
  <si>
    <t>Neuanlage</t>
  </si>
  <si>
    <t>Speicherförderung für Anlagen bis</t>
  </si>
  <si>
    <t>Anlagengrösse</t>
  </si>
  <si>
    <t>Nachrüstung / Neuanlage</t>
  </si>
  <si>
    <t>max. Referenzpreis</t>
  </si>
  <si>
    <t>Preis / kWp</t>
  </si>
  <si>
    <t>Förderquote</t>
  </si>
  <si>
    <t>Gesamtförderung</t>
  </si>
  <si>
    <t>Förderung</t>
  </si>
  <si>
    <t>Datum der Speicherintsallation</t>
  </si>
  <si>
    <t>Inst.Jahr PV_Anlage</t>
  </si>
  <si>
    <t>Stromverbrauch</t>
  </si>
  <si>
    <t>Umlage</t>
  </si>
  <si>
    <t>gesparter Strombezug in €</t>
  </si>
  <si>
    <t>Generatorertrag</t>
  </si>
  <si>
    <t>August</t>
  </si>
  <si>
    <t>Berechung des Anteils der Eigenverbrauchsumlage entsprechend dem Installationsjahr EEG 01.08.2014</t>
  </si>
  <si>
    <t>kWp-Anlage</t>
  </si>
  <si>
    <t>Wp/Modul</t>
  </si>
  <si>
    <t>Anzahl Module</t>
  </si>
  <si>
    <t>Ja</t>
  </si>
  <si>
    <t>Nein</t>
  </si>
  <si>
    <t>HINWEIS.
Die tatsächlichen Erträge der PV-Anlage können aufgrund von Schwankungen des Wetters, der Wirkungsgrade von Modulen und Wechselrichter und anderer Faktoren abweichen.
Die Kreditberechnung erfolgt hier nach der internen Zinsfußmethode. Diese wirtschaftliche Betrachtung wurde nach besten Wissen und Gewissen erstellt. Für Fehler, Abweichungen oder Änderungen in der Gesetzesgebung werden keine Garantien übernommen.</t>
  </si>
  <si>
    <t>Ausgaben / Investition gesamt</t>
  </si>
  <si>
    <t>Sonnensteuer ca. über 20 Jhare</t>
  </si>
  <si>
    <t>Anlagenrendite für 20 Jahre</t>
  </si>
  <si>
    <t>Anlagenrendite für 25 Jahre</t>
  </si>
  <si>
    <t>Summe Zinsen</t>
  </si>
  <si>
    <t>Ergebnis nach 25 Jahre</t>
  </si>
  <si>
    <t>Summe Tilgung</t>
  </si>
  <si>
    <t>Eigenanteil inkl. Barmittel</t>
  </si>
  <si>
    <t>KfW-Zuschuß Nein</t>
  </si>
  <si>
    <t>Finanzierung Nein</t>
  </si>
  <si>
    <t>KfW-Zuschuß Ja</t>
  </si>
  <si>
    <t>Finanzierung Ja</t>
  </si>
  <si>
    <t>Ergebnis nach 20 Jahre</t>
  </si>
  <si>
    <t>jährl. Kosten gesamt (20 Jahre)</t>
  </si>
  <si>
    <t>Summen</t>
  </si>
  <si>
    <t>60</t>
  </si>
  <si>
    <t>40</t>
  </si>
  <si>
    <t>Quelle: Alterung von Photovoltaik-Modulen Prof. Dr.sc.tech. Dr.-Ing. Johannes Hoffmann</t>
  </si>
  <si>
    <t>Kontostand</t>
  </si>
  <si>
    <t>gesparter Strombezug</t>
  </si>
  <si>
    <t>Vergütung</t>
  </si>
  <si>
    <t>Restschuld</t>
  </si>
  <si>
    <t>Tilgung jährlich</t>
  </si>
  <si>
    <t>Zinsen jährlich</t>
  </si>
  <si>
    <t>Annuität jährlich</t>
  </si>
  <si>
    <t>20</t>
  </si>
  <si>
    <t>Summe nach 25 Jahre</t>
  </si>
  <si>
    <t>Modulfläche</t>
  </si>
  <si>
    <t>Modulleistung</t>
  </si>
  <si>
    <t>Modulbezeichnung</t>
  </si>
  <si>
    <t>und</t>
  </si>
  <si>
    <t>Dadurch vermeiden Sie in 20 Jahren:</t>
  </si>
  <si>
    <t>Stromgestehungskosten</t>
  </si>
  <si>
    <t>Autarkiegrad</t>
  </si>
  <si>
    <t>Generatorfläche</t>
  </si>
  <si>
    <t>summe nach 20 Jahre</t>
  </si>
  <si>
    <t>Einspeisung</t>
  </si>
  <si>
    <t>Einspeisevergütung</t>
  </si>
  <si>
    <t>Eigenverbrauch gesamt</t>
  </si>
  <si>
    <t>Generatorleistung</t>
  </si>
  <si>
    <t>Stromkosten mit PV</t>
  </si>
  <si>
    <t>Stromkosten ohne PV</t>
  </si>
  <si>
    <t>Strombezugspreis</t>
  </si>
  <si>
    <t>ab 01.10.2017</t>
  </si>
  <si>
    <t>ab 01.07.2017</t>
  </si>
  <si>
    <t>Annuität im Quartal</t>
  </si>
  <si>
    <t>ab 01.04.2017</t>
  </si>
  <si>
    <t>Kredit</t>
  </si>
  <si>
    <t>EEG-Umlage</t>
  </si>
  <si>
    <t>ab 01.01.2017</t>
  </si>
  <si>
    <t>Eigenverbrauch PV</t>
  </si>
  <si>
    <t>Prozentuale Aufteilung</t>
  </si>
  <si>
    <t>ab 01.10.2016</t>
  </si>
  <si>
    <t>Kreditauszahlung %</t>
  </si>
  <si>
    <t>Eigenverbrauch PV + Akku</t>
  </si>
  <si>
    <t>jährl.Kosten</t>
  </si>
  <si>
    <t>Zinssatz (nom.)</t>
  </si>
  <si>
    <t>Lade-/Entladezyklen / a</t>
  </si>
  <si>
    <t>Eigenverbrauch</t>
  </si>
  <si>
    <t>Barmittel</t>
  </si>
  <si>
    <t>Speicherkapazität nutzbar</t>
  </si>
  <si>
    <t>nein</t>
  </si>
  <si>
    <t>Degradation</t>
  </si>
  <si>
    <t>Investition gesamt</t>
  </si>
  <si>
    <t>Ertrag</t>
  </si>
  <si>
    <t>Modulanzahl</t>
  </si>
  <si>
    <t>Modultyp</t>
  </si>
  <si>
    <t>PV-Anlage</t>
  </si>
  <si>
    <t>Strom an Dritte</t>
  </si>
  <si>
    <t>Projektdaten</t>
  </si>
  <si>
    <t>Modelrechnung für feste Einspeisevergütung, nicht nach dem Marktintegrationsmodel.</t>
  </si>
  <si>
    <t>Reduzierung der Einspeisevergütung in % lt. Bundesnetzagentur</t>
  </si>
  <si>
    <t>SuZiins</t>
  </si>
  <si>
    <t>SuTiilgung</t>
  </si>
  <si>
    <t>SuAnnu</t>
  </si>
  <si>
    <t>Zins</t>
  </si>
  <si>
    <t>Tilgung</t>
  </si>
  <si>
    <t>Annuität</t>
  </si>
  <si>
    <t>ja</t>
  </si>
  <si>
    <t>Anlagen auf oder an Gebäuden</t>
  </si>
  <si>
    <t>Freifläche auf Gewerbegebiete, auf baulichen Anlagen, an Verkehrswegen</t>
  </si>
  <si>
    <t>ab 01.01.2018</t>
  </si>
  <si>
    <t>ab 01.04.2018</t>
  </si>
  <si>
    <t>ab 01.07.2018</t>
  </si>
  <si>
    <t>ab 01.10.2018</t>
  </si>
  <si>
    <t>Strom-Preissteigerung</t>
  </si>
  <si>
    <t>Installation PV-Anlage</t>
  </si>
  <si>
    <t>Stromspeicher Ja</t>
  </si>
  <si>
    <t>0 Jahre tilgungsfrei</t>
  </si>
  <si>
    <t>Kosten Stromspeicher</t>
  </si>
  <si>
    <t>Kosten PV-Anlage</t>
  </si>
  <si>
    <t>Stromspeicher nein</t>
  </si>
  <si>
    <t>Stromspeicher Nachrüstung</t>
  </si>
  <si>
    <t>Installation Stromspeicher</t>
  </si>
  <si>
    <t>1 Jahr tilgungsfrei</t>
  </si>
  <si>
    <t>2 Jahre tilgungsfrei</t>
  </si>
  <si>
    <t>3 Jahre tilgungsfrei</t>
  </si>
  <si>
    <t>Perioden</t>
  </si>
  <si>
    <t>Monate</t>
  </si>
  <si>
    <t>ohne Begrenzung</t>
  </si>
  <si>
    <t>Boni für Eigenverbrauch</t>
  </si>
  <si>
    <t>max.</t>
  </si>
  <si>
    <t>bis</t>
  </si>
  <si>
    <t>ab</t>
  </si>
  <si>
    <t>Direktvermarktung</t>
  </si>
  <si>
    <t>Anlage zu groß</t>
  </si>
  <si>
    <t>Vorgaben</t>
  </si>
  <si>
    <t>Kosten Akku</t>
  </si>
  <si>
    <t>Verteilung</t>
  </si>
  <si>
    <t>Boni</t>
  </si>
  <si>
    <t>nat. Eigenverbrauch</t>
  </si>
  <si>
    <t>Inst.Jahr PV-Anlage</t>
  </si>
  <si>
    <t>Eigenverbrauch Akku</t>
  </si>
  <si>
    <t>Förderanteil</t>
  </si>
  <si>
    <t>PV-Anlagengrösse</t>
  </si>
  <si>
    <t>Eigenverbrauchsquote</t>
  </si>
  <si>
    <t>Generator</t>
  </si>
  <si>
    <t>Aufsplittung Verbrauchsquote</t>
  </si>
  <si>
    <t>Aufsplittung Generator</t>
  </si>
  <si>
    <t>bis 30 Kwp</t>
  </si>
  <si>
    <t>bis 100 kWp</t>
  </si>
  <si>
    <t>bis 500 kWp</t>
  </si>
  <si>
    <t>größer 500 kWp</t>
  </si>
  <si>
    <t>Summe Boni</t>
  </si>
  <si>
    <t>Stromgkosten</t>
  </si>
  <si>
    <t>Strompreis in ct/kWh</t>
  </si>
  <si>
    <t>Stromgestehungskosten in ct/kWh</t>
  </si>
  <si>
    <t>Eigenverbrauchsanteil</t>
  </si>
  <si>
    <t>Verkauf nach EEG</t>
  </si>
  <si>
    <t>Reduktion Einspeisevergütung 04/12-07/14 // EEG-Umlage auf Eigenverbrauch ab 10kWp/10MWh</t>
  </si>
  <si>
    <t>Strompreis inkl. Steigerung</t>
  </si>
  <si>
    <t>Berechnung der Degradation</t>
  </si>
  <si>
    <t>Ergebnisse</t>
  </si>
  <si>
    <t>1. HJ 2015</t>
  </si>
  <si>
    <t>2. HJ 2014</t>
  </si>
  <si>
    <t>1. HJ 2014</t>
  </si>
  <si>
    <t>2. HJ 2013</t>
  </si>
  <si>
    <t>1. HJ 2013</t>
  </si>
  <si>
    <t>2. HJ 2012</t>
  </si>
  <si>
    <t>1. HJ 2012</t>
  </si>
  <si>
    <t>2. HJ 2011</t>
  </si>
  <si>
    <t>1. HJ 2011</t>
  </si>
  <si>
    <t>2. HJ 2010</t>
  </si>
  <si>
    <t>1. HJ 2010</t>
  </si>
  <si>
    <t>2. HJ 2009</t>
  </si>
  <si>
    <t>1. HJ 2009</t>
  </si>
  <si>
    <t>2. HJ 2008</t>
  </si>
  <si>
    <t>Strompreissteigerung</t>
  </si>
  <si>
    <t>1. HJ 2008</t>
  </si>
  <si>
    <t>Inflation allgemein</t>
  </si>
  <si>
    <r>
      <t>W</t>
    </r>
    <r>
      <rPr>
        <sz val="10"/>
        <rFont val="Arial"/>
        <family val="2"/>
      </rPr>
      <t xml:space="preserve">artungs,- </t>
    </r>
    <r>
      <rPr>
        <b/>
        <sz val="10"/>
        <rFont val="Arial"/>
        <family val="2"/>
      </rPr>
      <t>B</t>
    </r>
    <r>
      <rPr>
        <sz val="10"/>
        <rFont val="Arial"/>
        <family val="2"/>
      </rPr>
      <t xml:space="preserve">etriebs, u. </t>
    </r>
    <r>
      <rPr>
        <b/>
        <sz val="10"/>
        <rFont val="Arial"/>
        <family val="2"/>
      </rPr>
      <t>R</t>
    </r>
    <r>
      <rPr>
        <sz val="10"/>
        <rFont val="Arial"/>
        <family val="2"/>
      </rPr>
      <t>eparaturkosten [in % v. Invest p.a.]</t>
    </r>
  </si>
  <si>
    <t>Die Ergebnisse sind durch eine mathematische Modellrechnung auf Basis des vom Bundesverband Solarwirtschaft entwickelten Solarrenditerechners ermittelt worden.  
Die in die Modellrechnung eingesetzten Ertragswerte der Solaranlage ( Einsparung in kWh ) beruhen auf einer Einschätzung nach Erfahrungswerten oder auf einer Anlagensimulation und können aufgrund von Schwankungen von Wetter, Verbrauchswerten oder anderen Randbedingungen von der Realität abweichen.   
Es wurden Annahmen für Inflationsrate, Betriebskosten und Kesselnutzungsgrade nach bestem Wissen und Gewissen getroffen, die in der Realität nicht genau vorherbestimmt werden können.         
Wesentlicher Faktor für die Renditeberechnung ist die Energiepreissteigerung, die auf Basis der bisherigen Energiepreissteigerung für die Zukunft geschätzt wurde. Die zukünftigen tatsächlichen Energiepreissteigerungen können kleiner oder größer als der angenommene Prozentsatz ausfallen.         
Dadurch können sich die Verzinsung, die eingesparten Brennstoffkosten und die zukünftigen Ausgaben für Brennstoff gegenüber der Vorhersage verringern oder auch erhöhen. Aus vorgenannten Gründen können wir keine Haftung für die vorstehenden Berechnungen übernehmen.</t>
  </si>
  <si>
    <t>Wichtige Hinweise: Alle Kosten- und Preisangaben verstehen sich inkl. Mehrwertsteuer.</t>
  </si>
  <si>
    <t>entspricht einer Verzinsung von</t>
  </si>
  <si>
    <t>Wärmepreis</t>
  </si>
  <si>
    <t>4-40</t>
  </si>
  <si>
    <t>20-100</t>
  </si>
  <si>
    <t>15-40</t>
  </si>
  <si>
    <t>9-14</t>
  </si>
  <si>
    <t>steuerfreie Einsparrendite</t>
  </si>
  <si>
    <t>Euro</t>
  </si>
  <si>
    <t>ohne Solar</t>
  </si>
  <si>
    <t>eingesparte Brennstoffkosten</t>
  </si>
  <si>
    <t>mit Solar</t>
  </si>
  <si>
    <t>11-40</t>
  </si>
  <si>
    <t>Ihr Ergebnis in 25 Jahren</t>
  </si>
  <si>
    <t>3-10</t>
  </si>
  <si>
    <t>Neubau</t>
  </si>
  <si>
    <t>Gebäudebestand</t>
  </si>
  <si>
    <t>Anlagenwärmepreis</t>
  </si>
  <si>
    <t>Anlagenkosten abzüglich Förderung + Modernisierung</t>
  </si>
  <si>
    <t>EURO L40 MQ HTF</t>
  </si>
  <si>
    <t>Heizung</t>
  </si>
  <si>
    <t>Elektrogeräte mit Warmwasseranschluss</t>
  </si>
  <si>
    <t>EURO L42 HTF</t>
  </si>
  <si>
    <t>WW</t>
  </si>
  <si>
    <t>Förderbetrag gesamt</t>
  </si>
  <si>
    <t>Energieeinsparung</t>
  </si>
  <si>
    <t>EURO L22 AR</t>
  </si>
  <si>
    <t>Optimierungspauschale</t>
  </si>
  <si>
    <t>Modernisierungskosten Standardspeicher</t>
  </si>
  <si>
    <t>EURO L20 MQ AR</t>
  </si>
  <si>
    <t>APEE</t>
  </si>
  <si>
    <t>Anlagenkosten</t>
  </si>
  <si>
    <t>EURO L20 HTF</t>
  </si>
  <si>
    <t>Kombinationsbonus</t>
  </si>
  <si>
    <t>%</t>
  </si>
  <si>
    <t>Preissteigerung Energieträger</t>
  </si>
  <si>
    <t>EURO L20 AR</t>
  </si>
  <si>
    <t>Förderbetrag</t>
  </si>
  <si>
    <t>Aktueller Preis  Brennstoff</t>
  </si>
  <si>
    <t>Ausgaben Brennstoff in 30 Jahren</t>
  </si>
  <si>
    <t>Ihr Ergebnis in 30 Jahren</t>
  </si>
  <si>
    <t>geförderte Kollektorfläche</t>
  </si>
  <si>
    <t>kWh</t>
  </si>
  <si>
    <t>Bisheriger Jahresverbrauch</t>
  </si>
  <si>
    <t>Solar Keymark Werte für ertragsabhängige Förderung bei Tm 50°C Würzburg</t>
  </si>
  <si>
    <t>Ausgaben Brennstoff in 25 Jahren</t>
  </si>
  <si>
    <t>Kollektoren</t>
  </si>
  <si>
    <t>Heizöl (EL)</t>
  </si>
  <si>
    <t>Brennstoff</t>
  </si>
  <si>
    <t>Ausgaben Brennstoff in 20 Jahren</t>
  </si>
  <si>
    <t>Ihr Ergebnis in 20 Jahren</t>
  </si>
  <si>
    <t>Heizungsunterstützung, so rechnet sich Ihre Solaranlage</t>
  </si>
  <si>
    <t>SUNtwin</t>
  </si>
  <si>
    <t>Projekt:</t>
  </si>
  <si>
    <t>Mustermann</t>
  </si>
  <si>
    <t>Firma:</t>
  </si>
  <si>
    <t>Bitte berücksichtigen Sie die separaten Förderbedingungen auf www.bafa.de</t>
  </si>
  <si>
    <t>ohne Förderung</t>
  </si>
  <si>
    <t>Gebäudeeffiziensbonus</t>
  </si>
  <si>
    <t>bis 40m² Basisiförderung</t>
  </si>
  <si>
    <t>CO²-Einsparung insgesamt</t>
  </si>
  <si>
    <t>€/kWh</t>
  </si>
  <si>
    <t>Strom</t>
  </si>
  <si>
    <t>€/kg</t>
  </si>
  <si>
    <t>kg</t>
  </si>
  <si>
    <t>kWh / kg</t>
  </si>
  <si>
    <t>Pellet</t>
  </si>
  <si>
    <t>Flüssiggas</t>
  </si>
  <si>
    <t>€/m³</t>
  </si>
  <si>
    <t>m³</t>
  </si>
  <si>
    <t>kWh / m³</t>
  </si>
  <si>
    <t>Gas L</t>
  </si>
  <si>
    <t>Gas H</t>
  </si>
  <si>
    <t>€/l</t>
  </si>
  <si>
    <t>l</t>
  </si>
  <si>
    <t>kWh / l</t>
  </si>
  <si>
    <t>Anlagenerweiterung 4 bis 40m²</t>
  </si>
  <si>
    <t>CO² in kg</t>
  </si>
  <si>
    <t>20 bis 100m² Ertrags-Innovationsförderung</t>
  </si>
  <si>
    <t>20 bis 100m² Innovationsförderung</t>
  </si>
  <si>
    <t>[in EUR]</t>
  </si>
  <si>
    <t>[in kWh]</t>
  </si>
  <si>
    <t>Einsparung kummuliert</t>
  </si>
  <si>
    <t>Energiekosten mit Solar</t>
  </si>
  <si>
    <t>Energiekosten ohne Solar</t>
  </si>
  <si>
    <t>Energiekosten 20 Jahre</t>
  </si>
  <si>
    <t>mittlere jährliche Energiepreissteigerung von Jahr bis 2010</t>
  </si>
  <si>
    <t>mittlere jährliche Energiepreissteigerung von Jahr bis 2011</t>
  </si>
  <si>
    <t>mittlere jährliche Energiepreissteigerung von Jahr bis 2012</t>
  </si>
  <si>
    <t>mittlere jährliche Energiepreissteigerung von Jahr bis 2013</t>
  </si>
  <si>
    <t>ct/kWh</t>
  </si>
  <si>
    <t>WBR-Kosten</t>
  </si>
  <si>
    <t>Einsparung Strom</t>
  </si>
  <si>
    <t>Endenergieeinsparung bei 2% mehr</t>
  </si>
  <si>
    <t>Endenergieeinsparung bei 2% weneiger</t>
  </si>
  <si>
    <t xml:space="preserve">Endenergieeinsparung </t>
  </si>
  <si>
    <t xml:space="preserve">Solarertrag </t>
  </si>
  <si>
    <t>Heizöl</t>
  </si>
  <si>
    <t>Erdgas</t>
  </si>
  <si>
    <t>Erdgas m³</t>
  </si>
  <si>
    <t>Heizöl ct</t>
  </si>
  <si>
    <t>Heizöl l</t>
  </si>
  <si>
    <t>Preisentwicklung Öl entsprechend der mittleren Preissteigerung von 1970-2014</t>
  </si>
  <si>
    <t>MIRR</t>
  </si>
  <si>
    <t>Amortisationsdauer</t>
  </si>
  <si>
    <t>Ergebnis</t>
  </si>
  <si>
    <t>Ausgaben</t>
  </si>
  <si>
    <t>Einnahmen</t>
  </si>
  <si>
    <t>alle werte inkl. MWsT</t>
  </si>
  <si>
    <t>Quelle: Grafik Energieagentur NRW</t>
  </si>
  <si>
    <t>Warmwasser, so rechnet sich Ihre Solaranlage</t>
  </si>
  <si>
    <t>PV-Anlage inkl. Speicher</t>
  </si>
  <si>
    <t>Batterie</t>
  </si>
  <si>
    <t>Stromerzeugung</t>
  </si>
  <si>
    <t>möglicher Eigenverbauch</t>
  </si>
  <si>
    <t>x</t>
  </si>
  <si>
    <t>empfohlene PV-Anlagengrösse</t>
  </si>
  <si>
    <t>überwiegend Tagesverbrauch</t>
  </si>
  <si>
    <t>Tag-/Nachtverbrauch</t>
  </si>
  <si>
    <t>empfohlene nutzbare Speichergröße</t>
  </si>
  <si>
    <t>mehr Tagesverbrauch</t>
  </si>
  <si>
    <t xml:space="preserve">      Sortierung nach</t>
  </si>
  <si>
    <t>Batterieauswahl</t>
  </si>
  <si>
    <t>nutzbare Energie</t>
  </si>
  <si>
    <t>gesamt</t>
  </si>
  <si>
    <t>Ladeleistung</t>
  </si>
  <si>
    <t>Nachmittag-/Abendverbrauch</t>
  </si>
  <si>
    <t>Entladeleistung</t>
  </si>
  <si>
    <t>Tag-/Nachtverbrauch ist gleich</t>
  </si>
  <si>
    <t>Technologie</t>
  </si>
  <si>
    <t>SMA</t>
  </si>
  <si>
    <t>mehr Abendverbrauch</t>
  </si>
  <si>
    <t>SI3.0</t>
  </si>
  <si>
    <t>Leistung</t>
  </si>
  <si>
    <t>Phasen</t>
  </si>
  <si>
    <t>überwiegend Abendverbrauch</t>
  </si>
  <si>
    <t>notstromfähig</t>
  </si>
  <si>
    <t>überwiegend Nachtsverbrauch</t>
  </si>
  <si>
    <t>Stromspeichererweiterung</t>
  </si>
  <si>
    <t>mögliche Anzahl</t>
  </si>
  <si>
    <t>Dieses Auslegungstool wurde nach besten Wissen und Gewissen erstellt. Alle Berechnungen sind als eine Prognose zu betrachten. Für Abweichungen in der Realität übernehmen wir keine Haftung. Die Berechnungsgrundlage für die Bestimmung des Autarkiegrades  erfolgte in Anlehnung an die Ausarbeitung von. Prof. V.Quaschning.</t>
  </si>
  <si>
    <t>Solarstrom</t>
  </si>
  <si>
    <t>belegte Dachfläche</t>
  </si>
  <si>
    <t>Jahresertrag</t>
  </si>
  <si>
    <t>pro Jahr</t>
  </si>
  <si>
    <t>im 1. Jahr</t>
  </si>
  <si>
    <t>Gesamt-CO2-Bilanz</t>
  </si>
  <si>
    <t>Stand 17.06.2016</t>
  </si>
  <si>
    <t>Ladeleistung Batteriewechselrichter</t>
  </si>
  <si>
    <t>mögliche Wechselrichter</t>
  </si>
  <si>
    <t>ausgesuchter Wechslerichter</t>
  </si>
  <si>
    <t>Speichersystemeinbindung</t>
  </si>
  <si>
    <t>Hersteller</t>
  </si>
  <si>
    <t>Bezeichnung</t>
  </si>
  <si>
    <t>Nennenergie (kWh)</t>
  </si>
  <si>
    <t>nutzbare Energie (kWh)</t>
  </si>
  <si>
    <t>Ladeleistung (kW)</t>
  </si>
  <si>
    <t>Entladeleistung (kW)</t>
  </si>
  <si>
    <t>SMA SB</t>
  </si>
  <si>
    <t>Fronius Symo Hybrid</t>
  </si>
  <si>
    <t>Nedap PowerRouter</t>
  </si>
  <si>
    <t>SolarEdge</t>
  </si>
  <si>
    <t>SolaX</t>
  </si>
  <si>
    <t>LG ESS</t>
  </si>
  <si>
    <t>Erweiterbarkeit</t>
  </si>
  <si>
    <t>Leistungserhöhung durch Erweiterung</t>
  </si>
  <si>
    <t>Förderung nach EEG 2016</t>
  </si>
  <si>
    <t>Accumotive</t>
  </si>
  <si>
    <t>LiNiMnCo</t>
  </si>
  <si>
    <t>aktiv</t>
  </si>
  <si>
    <t>Typ</t>
  </si>
  <si>
    <t>Leistung (kW) AC</t>
  </si>
  <si>
    <t xml:space="preserve"> </t>
  </si>
  <si>
    <t>Autarkiequote</t>
  </si>
  <si>
    <t>SB 3600 SmartEnergy</t>
  </si>
  <si>
    <t>SB 5000 SmartEnergy</t>
  </si>
  <si>
    <t>ja, Haus-Netz</t>
  </si>
  <si>
    <t>SI4.4</t>
  </si>
  <si>
    <t>nutzbaren Batteriekapazität / Verbrauch</t>
  </si>
  <si>
    <t>SI6.0</t>
  </si>
  <si>
    <t>Akasol</t>
  </si>
  <si>
    <t>Prüfung</t>
  </si>
  <si>
    <t>SI8.0</t>
  </si>
  <si>
    <t>neeoSystem Typ 1</t>
  </si>
  <si>
    <t>SI9.0</t>
  </si>
  <si>
    <t>neeoSystem Typ 2</t>
  </si>
  <si>
    <t>SI13.2</t>
  </si>
  <si>
    <t>neeoSystem Typ 3</t>
  </si>
  <si>
    <t>SI18.0</t>
  </si>
  <si>
    <t>neeoSystem Typ 4</t>
  </si>
  <si>
    <t>SI24.0</t>
  </si>
  <si>
    <t>neeoSystem Typ 5</t>
  </si>
  <si>
    <t>PR30SBi</t>
  </si>
  <si>
    <t>ja, separater Ausgang</t>
  </si>
  <si>
    <t>Aquion</t>
  </si>
  <si>
    <t>Aspan 48S</t>
  </si>
  <si>
    <t>AHI</t>
  </si>
  <si>
    <t>PR37SBi</t>
  </si>
  <si>
    <t>PR50SBi</t>
  </si>
  <si>
    <t>SK-SU3000 E</t>
  </si>
  <si>
    <t>SK-SU3700 E</t>
  </si>
  <si>
    <t>SK-SU5000 E</t>
  </si>
  <si>
    <t>Aspan 48M</t>
  </si>
  <si>
    <t>Symo H 3.0</t>
  </si>
  <si>
    <t>BMZ</t>
  </si>
  <si>
    <t>LMO</t>
  </si>
  <si>
    <t>Symo H 4.0</t>
  </si>
  <si>
    <t>Fronius</t>
  </si>
  <si>
    <t>Battery 4.5</t>
  </si>
  <si>
    <t>LiFePO</t>
  </si>
  <si>
    <t>Symo H 5.0</t>
  </si>
  <si>
    <t>Battery 6.0</t>
  </si>
  <si>
    <t>Battery 7.5</t>
  </si>
  <si>
    <t>LG Electronics</t>
  </si>
  <si>
    <t>k.A</t>
  </si>
  <si>
    <t>Battery 9.0</t>
  </si>
  <si>
    <t>Battery 10.5</t>
  </si>
  <si>
    <t>Battery 12.0</t>
  </si>
  <si>
    <t>PV-Ertrag / Jahresstromverbrauch</t>
  </si>
  <si>
    <t>Hoppecke</t>
  </si>
  <si>
    <r>
      <t xml:space="preserve">sun powerpack </t>
    </r>
    <r>
      <rPr>
        <b/>
        <sz val="11"/>
        <rFont val="Calibri"/>
        <family val="2"/>
      </rPr>
      <t>classic</t>
    </r>
    <r>
      <rPr>
        <sz val="11"/>
        <rFont val="Calibri"/>
        <family val="2"/>
      </rPr>
      <t xml:space="preserve"> 6.4-48</t>
    </r>
  </si>
  <si>
    <t>AGM</t>
  </si>
  <si>
    <r>
      <t xml:space="preserve">sun powerpack </t>
    </r>
    <r>
      <rPr>
        <b/>
        <sz val="11"/>
        <rFont val="Calibri"/>
        <family val="2"/>
      </rPr>
      <t>classic</t>
    </r>
    <r>
      <rPr>
        <sz val="11"/>
        <rFont val="Calibri"/>
        <family val="2"/>
      </rPr>
      <t xml:space="preserve"> 8.0-48</t>
    </r>
  </si>
  <si>
    <r>
      <t xml:space="preserve">sun powerpack </t>
    </r>
    <r>
      <rPr>
        <b/>
        <sz val="11"/>
        <rFont val="Calibri"/>
        <family val="2"/>
      </rPr>
      <t>premium</t>
    </r>
    <r>
      <rPr>
        <sz val="11"/>
        <rFont val="Calibri"/>
        <family val="2"/>
      </rPr>
      <t xml:space="preserve"> 5.0</t>
    </r>
  </si>
  <si>
    <t>X</t>
  </si>
  <si>
    <r>
      <t xml:space="preserve">sun powerpack </t>
    </r>
    <r>
      <rPr>
        <b/>
        <sz val="11"/>
        <rFont val="Calibri"/>
        <family val="2"/>
      </rPr>
      <t>classic</t>
    </r>
    <r>
      <rPr>
        <sz val="11"/>
        <rFont val="Calibri"/>
        <family val="2"/>
      </rPr>
      <t xml:space="preserve"> 11.0-48</t>
    </r>
  </si>
  <si>
    <t>Y</t>
  </si>
  <si>
    <r>
      <t xml:space="preserve">sun powerpack </t>
    </r>
    <r>
      <rPr>
        <b/>
        <sz val="11"/>
        <rFont val="Calibri"/>
        <family val="2"/>
      </rPr>
      <t>premium</t>
    </r>
    <r>
      <rPr>
        <sz val="11"/>
        <rFont val="Calibri"/>
        <family val="2"/>
      </rPr>
      <t xml:space="preserve"> 7.5</t>
    </r>
  </si>
  <si>
    <r>
      <t xml:space="preserve">sun powerpack </t>
    </r>
    <r>
      <rPr>
        <b/>
        <sz val="11"/>
        <rFont val="Calibri"/>
        <family val="2"/>
      </rPr>
      <t>classic</t>
    </r>
    <r>
      <rPr>
        <sz val="11"/>
        <rFont val="Calibri"/>
        <family val="2"/>
      </rPr>
      <t xml:space="preserve"> 16.0-48</t>
    </r>
  </si>
  <si>
    <r>
      <t xml:space="preserve">sun powerpack </t>
    </r>
    <r>
      <rPr>
        <b/>
        <sz val="11"/>
        <rFont val="Calibri"/>
        <family val="2"/>
      </rPr>
      <t>classic</t>
    </r>
    <r>
      <rPr>
        <sz val="11"/>
        <rFont val="Calibri"/>
        <family val="2"/>
      </rPr>
      <t xml:space="preserve"> 14.0-48</t>
    </r>
  </si>
  <si>
    <t>LG Chem</t>
  </si>
  <si>
    <t>RESU6.4EX</t>
  </si>
  <si>
    <t>RESU 3.3</t>
  </si>
  <si>
    <t>LiPolymer</t>
  </si>
  <si>
    <t>RESU 6.5</t>
  </si>
  <si>
    <t xml:space="preserve">Aqueous Hybrid Ion (wässrige Natrium-Ionen) </t>
  </si>
  <si>
    <t>RESU 7H</t>
  </si>
  <si>
    <t>Absorbent Glass Mat (Blei-Vlies)</t>
  </si>
  <si>
    <t>RESU 10</t>
  </si>
  <si>
    <t>lithium manganese oxide</t>
  </si>
  <si>
    <t>RESU 10H</t>
  </si>
  <si>
    <t>NMC</t>
  </si>
  <si>
    <t>lithium nickel manganese cobalt oxide</t>
  </si>
  <si>
    <t>Lithium Eisen Phosphate</t>
  </si>
  <si>
    <t>Neo Rack</t>
  </si>
  <si>
    <t>NeeoQube</t>
  </si>
  <si>
    <t>Höchstleistung</t>
  </si>
  <si>
    <t>Leistungsspitze</t>
  </si>
  <si>
    <t>zulässige BetriebsTemperatur</t>
  </si>
  <si>
    <t>optimale Betriebstemperatur</t>
  </si>
  <si>
    <t>-10 bis 45</t>
  </si>
  <si>
    <t>15 bis 30</t>
  </si>
  <si>
    <t>RESU 3.2EX</t>
  </si>
  <si>
    <t>Mercedes-Benz 2.5</t>
  </si>
  <si>
    <t>Mercedes-Benz 5.0</t>
  </si>
  <si>
    <t>Mercedes-Benz 7.5</t>
  </si>
  <si>
    <t>Mercedes-Benz 10.0</t>
  </si>
  <si>
    <t>Mercedes-Benz 15.0</t>
  </si>
  <si>
    <t>Mercedes-Benz 20.0</t>
  </si>
  <si>
    <t>ergänzte Anzahl</t>
  </si>
  <si>
    <t>Speicherauswahl</t>
  </si>
  <si>
    <t>Auswahl Gerät</t>
  </si>
  <si>
    <t>Hersteller Wechselrichter / Laderegler</t>
  </si>
  <si>
    <t>dauer</t>
  </si>
  <si>
    <t>kurzzeitig</t>
  </si>
  <si>
    <t xml:space="preserve">3600 SmartEnergy </t>
  </si>
  <si>
    <t xml:space="preserve">5000 SmartEnergy </t>
  </si>
  <si>
    <t>als Akku-Erweiterung nutzbar</t>
  </si>
  <si>
    <t>Mercedes-Benz Batteriemodul</t>
  </si>
  <si>
    <t>möglicher Hersteller für Laderregler / Wechselrichter</t>
  </si>
  <si>
    <t>Batterey 1.5 Erweiterung</t>
  </si>
  <si>
    <t>Dauer</t>
  </si>
  <si>
    <t>PV Leistung kWp</t>
  </si>
  <si>
    <t>AC Leistung Backup</t>
  </si>
  <si>
    <t>Leistungsabgabe kurzzeitig</t>
  </si>
  <si>
    <t>AC Leistung Backup  kurzzeitig</t>
  </si>
  <si>
    <t>BackUp</t>
  </si>
  <si>
    <t>AC-Leistungsabgabe Netz</t>
  </si>
  <si>
    <t>&lt;7 W</t>
  </si>
  <si>
    <t>Maße</t>
  </si>
  <si>
    <t>43 x  47 x 29 cm²; 37 kg</t>
  </si>
  <si>
    <t>69 x  47 x 29 cm²; 69 kg</t>
  </si>
  <si>
    <t>94 x  47 x 29 cm²; 101 kg</t>
  </si>
  <si>
    <t>118 x  47 x 29 cm²; 133 kg</t>
  </si>
  <si>
    <t>118 x  98 x 29 cm²; 133 kg</t>
  </si>
  <si>
    <t>94 x  98 x 29 cm²; 101 kg</t>
  </si>
  <si>
    <t>Maße H/B/T</t>
  </si>
  <si>
    <t>k.A.</t>
  </si>
  <si>
    <t>Höhe/Breite/Tiefe/Gewicht</t>
  </si>
  <si>
    <t>75 x 85 x 25 cm³; 30 + 25 kg</t>
  </si>
  <si>
    <t>0,5 W</t>
  </si>
  <si>
    <t>Standby / Eigenverbrauch in W</t>
  </si>
  <si>
    <t>6,8 W / 18 W</t>
  </si>
  <si>
    <t>H x B x T cm³; kg</t>
  </si>
  <si>
    <t>61,2 x 46,7 x 24,2 cm³; 44 kg</t>
  </si>
  <si>
    <t>7 W / 26 W</t>
  </si>
  <si>
    <t>61,2 x 46,7 x 24,2 cm³; 63 kg</t>
  </si>
  <si>
    <t>64,5 x 43,1 x 20,4 cm³; 19,9 kg</t>
  </si>
  <si>
    <t>5 bis 35</t>
  </si>
  <si>
    <t>17 kg</t>
  </si>
  <si>
    <t>95,5 x 57 x 61,1 cm³; 91 kg</t>
  </si>
  <si>
    <t>95,5 x 57 x 61,1 cm³; 108 kg</t>
  </si>
  <si>
    <t>95,5 x 57 x 61,1 cm³; 125 kg</t>
  </si>
  <si>
    <t>95,5 x 57 x 61,1 cm³; 142 kg</t>
  </si>
  <si>
    <t>95,5 x 57 x 61,1 cm³; 159 kg</t>
  </si>
  <si>
    <t>95,5 x 57 x 61,1 cm³; 176 kg</t>
  </si>
  <si>
    <t>0 bis 40</t>
  </si>
  <si>
    <t>66,4 x 40,6 x 116,5 cm; 60 kg</t>
  </si>
  <si>
    <t>66,4 x 23 x 16,5 cm³; 30 kg</t>
  </si>
  <si>
    <t>Erhöhung/Verringerung Modulanzahl</t>
  </si>
  <si>
    <t>45 x 35,7 x 12,2 cm³; 9,2 kg</t>
  </si>
  <si>
    <t>&lt;2 W / &lt;10 W</t>
  </si>
  <si>
    <t>Ladeleistung an Batterie kW</t>
  </si>
  <si>
    <t xml:space="preserve">Entladeleistung von Batterie </t>
  </si>
  <si>
    <t>max. Ladeleistung</t>
  </si>
  <si>
    <t>max. Entladeleistung</t>
  </si>
  <si>
    <t>DC-Leistungsabgabe von/an Batterie</t>
  </si>
  <si>
    <t>LG</t>
  </si>
  <si>
    <t>1 MPP</t>
  </si>
  <si>
    <t>2 MPP</t>
  </si>
  <si>
    <t>Anzahl der MPP-Tracker</t>
  </si>
  <si>
    <t>max. PV-Leistung / Anzahl MPP</t>
  </si>
  <si>
    <t>59,1 x 70 x 15,1 cm³; 27,7 kg</t>
  </si>
  <si>
    <t>67 x 49,3 x 18,5 cm³; 34 kg</t>
  </si>
  <si>
    <t>68,2 x 40,8 x 18 cm³; 58 kg</t>
  </si>
  <si>
    <t>STOREit 48-6.0</t>
  </si>
  <si>
    <t>STOREit 48-8.0</t>
  </si>
  <si>
    <t>STOREit 48-10.0</t>
  </si>
  <si>
    <t>STOREit 48-12.0</t>
  </si>
  <si>
    <t>93,5 x 33 x 31 cm³; 118 kg</t>
  </si>
  <si>
    <t>116 x 132 x 101 cm³; 1,5 to</t>
  </si>
  <si>
    <t>93,5 x 99 x 31 cm³; 354 kg</t>
  </si>
  <si>
    <t>93,5 x 132 x 31 cm³; 472 kg</t>
  </si>
  <si>
    <t>93,5 x 165 x 31 cm³; 590 kg</t>
  </si>
  <si>
    <t>93,5 x 198 x 31 cm³; 708 kg</t>
  </si>
  <si>
    <t>40,1 x 45,2 x 12 cm³; 31 kg</t>
  </si>
  <si>
    <t>65,4 x 45,2 x 12 cm³; 52 kg</t>
  </si>
  <si>
    <t>48,3 x 45,2  x 22,7cm³; 75 kg</t>
  </si>
  <si>
    <t>Victron energy</t>
  </si>
  <si>
    <t>vorb.</t>
  </si>
  <si>
    <t>69,2 x 74,4 x 20,6 cm³; 76 kg</t>
  </si>
  <si>
    <t>90,7 x 74,4 x 20,6 cm³; 97 kg</t>
  </si>
  <si>
    <t>LMC</t>
  </si>
  <si>
    <t>Lithium Mangan Cobald</t>
  </si>
  <si>
    <t>ESS 7.0</t>
  </si>
  <si>
    <t>Systovi, Pro N54, 250Wp</t>
  </si>
  <si>
    <t>Heckert NeMo 60 M, 270 Wp</t>
  </si>
  <si>
    <t>Heckert NeMo 60 M, 275 Wp</t>
  </si>
  <si>
    <t>Heckert NeMo P 60, 255 Wp</t>
  </si>
  <si>
    <t>Heckert NeMo P 60, 260 Wp</t>
  </si>
  <si>
    <t>Heckert NeMo P 60, 265 Wp</t>
  </si>
  <si>
    <t>CSW Professional 275 Wp</t>
  </si>
  <si>
    <t>CSW Professional, 265 Wp</t>
  </si>
  <si>
    <t>CSW Vision 260 Wp</t>
  </si>
  <si>
    <t>CSW Vision 275 Wp</t>
  </si>
  <si>
    <t>LG MonoX2, 280 S1K</t>
  </si>
  <si>
    <t>LG MonoX2, 285 S1C</t>
  </si>
  <si>
    <t>LG Neon2 300 N1K</t>
  </si>
  <si>
    <t>LG Neon2 315 N1C</t>
  </si>
  <si>
    <t>LG Neon2 320 N1C</t>
  </si>
  <si>
    <t>AUO SunVivo 290 Wp</t>
  </si>
  <si>
    <t>BenQ SunPrimo 260 Wp</t>
  </si>
  <si>
    <t>BenQ SunVivo 280 Wp</t>
  </si>
  <si>
    <t>BenQ 275 Wp</t>
  </si>
  <si>
    <t>BenQ SunForte  330 Wp</t>
  </si>
  <si>
    <t>Suntellite ZDNY-260 Wp</t>
  </si>
  <si>
    <t>REC 255 PE; 255 Wp</t>
  </si>
  <si>
    <t>REC 265 PE; 265Wp</t>
  </si>
  <si>
    <t>REC 255 PE BLK2; 255 Wp</t>
  </si>
  <si>
    <t>REC Twinpeak  280Wp</t>
  </si>
  <si>
    <t>Wagner 1Power 260 black</t>
  </si>
  <si>
    <t>Wagner M72 200 Wp</t>
  </si>
  <si>
    <t>SMA SBS</t>
  </si>
  <si>
    <t>SBS 2.5 Hochvolt</t>
  </si>
  <si>
    <t>SMA SE</t>
  </si>
  <si>
    <t>SE2200</t>
  </si>
  <si>
    <t>SE3000</t>
  </si>
  <si>
    <t>SE3500</t>
  </si>
  <si>
    <t>SE4000</t>
  </si>
  <si>
    <t>SE5000</t>
  </si>
  <si>
    <t>54 x 31,5 x 17,2 cm³; 20,2 kg</t>
  </si>
  <si>
    <t>54 x 31,5 x 19,1 cm³; 21,7 kg</t>
  </si>
  <si>
    <t>Panasonic VBHN 240 SJ25</t>
  </si>
  <si>
    <t>Panasonic VBHN 245 SJ25</t>
  </si>
  <si>
    <t>Panasonic VBHN 285 SJ40</t>
  </si>
  <si>
    <t>Panasonic VBHN 295 SJ46</t>
  </si>
  <si>
    <t>Panasonic VBHN 325 SJ47</t>
  </si>
  <si>
    <t>Panasonic VBHN 330 SJ47</t>
  </si>
  <si>
    <t>Freifläche auf versiegelte oder Konversionsflächen / ab 2016 Nichtwohngebäude im Aussenbereich</t>
  </si>
  <si>
    <t>LG-Chem</t>
  </si>
  <si>
    <t>alt. ermittelter Wert PV + Akku</t>
  </si>
  <si>
    <t>weitere Förderungen</t>
  </si>
  <si>
    <t>Stand 30.09.2016</t>
  </si>
  <si>
    <t>ESS 5.0 / 5,8</t>
  </si>
  <si>
    <t>Kosten Speicher</t>
  </si>
  <si>
    <t>46,5 x 64,5 x 49 cm³; 96 kg</t>
  </si>
  <si>
    <t>Summe</t>
  </si>
  <si>
    <t>Eigenverbrauch inkl. Akku</t>
  </si>
  <si>
    <t>Evergreen</t>
  </si>
  <si>
    <t>4,6 kWh - Accumotive Mercedes-Benz 5.0</t>
  </si>
  <si>
    <t>Stand 15.10.2016</t>
  </si>
  <si>
    <r>
      <t xml:space="preserve">Bruttofläche </t>
    </r>
    <r>
      <rPr>
        <b/>
        <sz val="11"/>
        <rFont val="Calibri"/>
        <family val="2"/>
      </rPr>
      <t>[m²]</t>
    </r>
  </si>
  <si>
    <r>
      <t xml:space="preserve">Aperturfläche </t>
    </r>
    <r>
      <rPr>
        <b/>
        <sz val="11"/>
        <rFont val="Calibri"/>
        <family val="2"/>
      </rPr>
      <t>[m²]</t>
    </r>
  </si>
  <si>
    <r>
      <t xml:space="preserve">Kollektorjahresertrag nach Solar Keymark (Collector annual output, Würzburg, Tm = 50 °C) </t>
    </r>
    <r>
      <rPr>
        <b/>
        <sz val="11"/>
        <rFont val="Calibri"/>
        <family val="2"/>
      </rPr>
      <t>[kWh/a]</t>
    </r>
  </si>
</sst>
</file>

<file path=xl/styles.xml><?xml version="1.0" encoding="utf-8"?>
<styleSheet xmlns="http://schemas.openxmlformats.org/spreadsheetml/2006/main">
  <numFmts count="87">
    <numFmt numFmtId="5" formatCode="#,##0\ &quot;€&quot;;\-#,##0\ &quot;€&quot;"/>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43" formatCode="_-* #,##0.00\ _€_-;\-* #,##0.00\ _€_-;_-* &quot;-&quot;??\ _€_-;_-@_-"/>
    <numFmt numFmtId="164" formatCode="&quot;bis&quot;\ #,##0\ &quot;kWp&quot;"/>
    <numFmt numFmtId="165" formatCode="&quot;ab&quot;\ #,##0\ &quot;kWp&quot;"/>
    <numFmt numFmtId="166" formatCode="#,##0.00\ &quot;ct/kwh&quot;"/>
    <numFmt numFmtId="167" formatCode="&quot;bis&quot;\ 0%"/>
    <numFmt numFmtId="168" formatCode="&quot;ab&quot;\ 0%"/>
    <numFmt numFmtId="169" formatCode="&quot;ab&quot;\ ###,\100\ &quot;bis&quot;\ #,##0\ &quot;kWp&quot;"/>
    <numFmt numFmtId="170" formatCode="&quot;ab&quot;\ ##,#0\ &quot;bis&quot;\ #,##0\ &quot;kWp&quot;"/>
    <numFmt numFmtId="171" formatCode="0.0%"/>
    <numFmt numFmtId="172" formatCode="_-* #,##0\ _€_-;\-* #,##0\ _€_-;_-* &quot;-&quot;??\ _€_-;_-@_-"/>
    <numFmt numFmtId="173" formatCode="_-* #,##0\ &quot;€&quot;_-;\-* #,##0\ &quot;€&quot;_-;_-* &quot;-&quot;??\ &quot;€&quot;_-;_-@_-"/>
    <numFmt numFmtId="174" formatCode="##,##0.00\ \k\W\p"/>
    <numFmt numFmtId="175" formatCode="_-* #,##0.00\ [$€]_-;\-* #,##0.00\ [$€]_-;_-* &quot;-&quot;??\ [$€]_-;_-@_-"/>
    <numFmt numFmtId="176" formatCode="_-* #,##0\ [$€]_-;\-* #,##0\ [$€]_-;_-* &quot;-&quot;??\ [$€]_-;_-@_-"/>
    <numFmt numFmtId="177" formatCode="#,##0\ &quot;€&quot;"/>
    <numFmt numFmtId="178" formatCode="#,##0.00\ &quot;€&quot;"/>
    <numFmt numFmtId="179" formatCode="_-* #,##0.00\ [$€-407]_-;\-* #,##0.00\ [$€-407]_-;_-* &quot;-&quot;??\ [$€-407]_-;_-@_-"/>
    <numFmt numFmtId="180" formatCode="#,##0\ &quot;kWh&quot;"/>
    <numFmt numFmtId="181" formatCode="#,###\ &quot;kWh&quot;"/>
    <numFmt numFmtId="182" formatCode="_-* #,##0.00\ &quot;DM&quot;_-;\-* #,##0.00\ &quot;DM&quot;_-;_-* &quot;-&quot;??\ &quot;DM&quot;_-;_-@_-"/>
    <numFmt numFmtId="183" formatCode="#,##0.00\ _€"/>
    <numFmt numFmtId="184" formatCode=".00"/>
    <numFmt numFmtId="185" formatCode="0.00\ &quot;ct / kWh&quot;"/>
    <numFmt numFmtId="186" formatCode="#,##0.0\ &quot;m²&quot;"/>
    <numFmt numFmtId="187" formatCode="0.0000"/>
    <numFmt numFmtId="188" formatCode="#,##0.00\ &quot;m²&quot;"/>
    <numFmt numFmtId="189" formatCode="#,##0\ \W\p"/>
    <numFmt numFmtId="190" formatCode="0.0000\ &quot;€ / kWh&quot;"/>
    <numFmt numFmtId="191" formatCode="0.000"/>
    <numFmt numFmtId="192" formatCode="#,##0.00\ &quot;€&quot;;[Red]#,##0.00\ &quot;€&quot;"/>
    <numFmt numFmtId="193" formatCode="_-* #,##0.00\ _D_M_-;\-* #,##0.00\ _D_M_-;_-* &quot;-&quot;??\ _D_M_-;_-@_-"/>
    <numFmt numFmtId="194" formatCode="#,##0.0\ &quot;%&quot;"/>
    <numFmt numFmtId="195" formatCode="0.00_ ;[Red]\-0.00\ "/>
    <numFmt numFmtId="196" formatCode="#.##\ &quot;m²&quot;"/>
    <numFmt numFmtId="197" formatCode="&quot;Summe: &quot;\ #,###.\-\ &quot;€&quot;"/>
    <numFmt numFmtId="198" formatCode="#,##0\ [$€-40A];\-#,##0\ [$€-40A]"/>
    <numFmt numFmtId="199" formatCode="0.0"/>
    <numFmt numFmtId="200" formatCode="#\ &quot;Zyklen / a&quot;"/>
    <numFmt numFmtId="201" formatCode="#,##0.0\ &quot;kWh&quot;"/>
    <numFmt numFmtId="202" formatCode="#,###.0\ &quot;kWh&quot;"/>
    <numFmt numFmtId="203" formatCode="0.0\ &quot;Jahre&quot;"/>
    <numFmt numFmtId="204" formatCode="&quot;Installationsjahr&quot;\ #"/>
    <numFmt numFmtId="205" formatCode="#,##0.00\ &quot;ct/kWh&quot;"/>
    <numFmt numFmtId="206" formatCode="#,###.0\ &quot;g radioaktiven Abfall&quot;"/>
    <numFmt numFmtId="207" formatCode="#,##0&quot; kg CO2&quot;"/>
    <numFmt numFmtId="208" formatCode="#,###\ &quot;€ / kWh&quot;"/>
    <numFmt numFmtId="209" formatCode="_-* #,##0\ [$€-407]_-;\-* #,##0\ [$€-407]_-;_-* &quot;-&quot;??\ [$€-407]_-;_-@_-"/>
    <numFmt numFmtId="210" formatCode="##,##0.0\ \k\W\p"/>
    <numFmt numFmtId="211" formatCode="#,##0.00\ &quot;%&quot;"/>
    <numFmt numFmtId="212" formatCode="#\ &quot;Jahr(e)&quot;"/>
    <numFmt numFmtId="213" formatCode="#,###\ &quot;kWh/a&quot;"/>
    <numFmt numFmtId="214" formatCode="0.0\ &quot;kWh&quot;"/>
    <numFmt numFmtId="215" formatCode="#,##0\ &quot;kWh/kWp&quot;"/>
    <numFmt numFmtId="216" formatCode="_-* #,##0\ _D_M_-;\-* #,##0\ _D_M_-;_-* &quot;-&quot;??\ _D_M_-;_-@_-"/>
    <numFmt numFmtId="217" formatCode="#,##0&quot;%&quot;"/>
    <numFmt numFmtId="218" formatCode="0.00\ &quot;ct/kWh&quot;"/>
    <numFmt numFmtId="219" formatCode="#\ &quot;Jahre Laufzeit&quot;"/>
    <numFmt numFmtId="220" formatCode="##,##0\ \k\W\p"/>
    <numFmt numFmtId="221" formatCode="_-* #,##0\ _D_M_-;\-* #,##0\ _D_M_-;_-* &quot;-&quot;\ _D_M_-;_-@_-"/>
    <numFmt numFmtId="222" formatCode="#,##0.0\ &quot;ct/kWh&quot;"/>
    <numFmt numFmtId="223" formatCode="##,##0.00\ &quot;ct / kWh&quot;"/>
    <numFmt numFmtId="224" formatCode="#,##0&quot; kg&quot;"/>
    <numFmt numFmtId="225" formatCode="#,##0_ ;\-#,##0\ "/>
    <numFmt numFmtId="226" formatCode="#,##0\ &quot;Euro&quot;"/>
    <numFmt numFmtId="227" formatCode="#,##0_ ;[Red]\-#,##0\ "/>
    <numFmt numFmtId="228" formatCode="#.#"/>
    <numFmt numFmtId="229" formatCode="&quot;min.&quot;\ #\ &quot;m² Kollektorfläche&quot;"/>
    <numFmt numFmtId="230" formatCode="0\ &quot;m²&quot;"/>
    <numFmt numFmtId="231" formatCode="&quot;mit&quot;\ #\ &quot;% Energiepreissteigerung&quot;"/>
    <numFmt numFmtId="232" formatCode="#,##0\ &quot;m²&quot;"/>
    <numFmt numFmtId="233" formatCode="#,###\ &quot;kWh/kWp&quot;"/>
    <numFmt numFmtId="234" formatCode="#,##0\ &quot;%&quot;"/>
    <numFmt numFmtId="235" formatCode="0.00\ &quot;kWp&quot;"/>
    <numFmt numFmtId="236" formatCode="#\ &quot;Module&quot;"/>
    <numFmt numFmtId="237" formatCode="#,##0.00\ &quot;kW&quot;"/>
    <numFmt numFmtId="238" formatCode="#&quot;-phasig&quot;"/>
    <numFmt numFmtId="239" formatCode="#.#\ &quot;cm&quot;"/>
    <numFmt numFmtId="240" formatCode="#,##0\ &quot;kg&quot;"/>
    <numFmt numFmtId="241" formatCode="##,##0\ &quot;€/kWp&quot;"/>
    <numFmt numFmtId="242" formatCode="&quot;entspricht&quot;\ #\ &quot;x&quot;"/>
    <numFmt numFmtId="243" formatCode="&quot;je&quot;"/>
  </numFmts>
  <fonts count="53">
    <font>
      <sz val="11"/>
      <color theme="1"/>
      <name val="Calibri"/>
      <family val="2"/>
      <scheme val="minor"/>
    </font>
    <font>
      <sz val="9"/>
      <color indexed="81"/>
      <name val="Tahoma"/>
      <family val="2"/>
    </font>
    <font>
      <b/>
      <sz val="9"/>
      <color indexed="81"/>
      <name val="Tahoma"/>
      <family val="2"/>
    </font>
    <font>
      <sz val="12"/>
      <name val="Arial"/>
      <family val="2"/>
    </font>
    <font>
      <sz val="10"/>
      <name val="Arial"/>
      <family val="2"/>
    </font>
    <font>
      <sz val="11"/>
      <name val="Arial"/>
      <family val="2"/>
    </font>
    <font>
      <b/>
      <sz val="11"/>
      <name val="Arial"/>
      <family val="2"/>
    </font>
    <font>
      <sz val="11"/>
      <color indexed="9"/>
      <name val="Arial"/>
      <family val="2"/>
    </font>
    <font>
      <b/>
      <sz val="10"/>
      <name val="Arial"/>
      <family val="2"/>
    </font>
    <font>
      <u/>
      <sz val="10"/>
      <name val="Arial"/>
      <family val="2"/>
    </font>
    <font>
      <u/>
      <sz val="10"/>
      <color indexed="12"/>
      <name val="Arial"/>
      <family val="2"/>
    </font>
    <font>
      <b/>
      <u/>
      <sz val="12"/>
      <name val="Arial"/>
      <family val="2"/>
    </font>
    <font>
      <b/>
      <sz val="12"/>
      <name val="Arial"/>
      <family val="2"/>
    </font>
    <font>
      <b/>
      <sz val="14"/>
      <name val="Arial"/>
      <family val="2"/>
    </font>
    <font>
      <u/>
      <sz val="12"/>
      <name val="Arial"/>
      <family val="2"/>
    </font>
    <font>
      <sz val="12"/>
      <color indexed="9"/>
      <name val="Arial"/>
      <family val="2"/>
    </font>
    <font>
      <b/>
      <sz val="16"/>
      <name val="Arial"/>
      <family val="2"/>
    </font>
    <font>
      <sz val="14"/>
      <name val="Arial"/>
      <family val="2"/>
    </font>
    <font>
      <sz val="11"/>
      <color indexed="81"/>
      <name val="Tahoma"/>
      <family val="2"/>
    </font>
    <font>
      <b/>
      <sz val="11"/>
      <color indexed="10"/>
      <name val="Tahoma"/>
      <family val="2"/>
    </font>
    <font>
      <sz val="11"/>
      <color indexed="60"/>
      <name val="Calibri"/>
      <family val="2"/>
    </font>
    <font>
      <sz val="11"/>
      <name val="Calibri"/>
      <family val="2"/>
    </font>
    <font>
      <sz val="9"/>
      <name val="Arial"/>
      <family val="2"/>
    </font>
    <font>
      <sz val="8"/>
      <name val="Arial"/>
      <family val="2"/>
    </font>
    <font>
      <b/>
      <sz val="8"/>
      <name val="Arial"/>
      <family val="2"/>
    </font>
    <font>
      <sz val="20"/>
      <name val="Arial"/>
      <family val="2"/>
    </font>
    <font>
      <b/>
      <sz val="20"/>
      <name val="Arial"/>
      <family val="2"/>
    </font>
    <font>
      <b/>
      <i/>
      <sz val="10"/>
      <name val="Arial"/>
      <family val="2"/>
    </font>
    <font>
      <b/>
      <i/>
      <sz val="14"/>
      <name val="Arial"/>
      <family val="2"/>
    </font>
    <font>
      <u val="singleAccounting"/>
      <sz val="11"/>
      <name val="Arial"/>
      <family val="2"/>
    </font>
    <font>
      <b/>
      <sz val="14"/>
      <color indexed="9"/>
      <name val="Arial"/>
      <family val="2"/>
    </font>
    <font>
      <b/>
      <sz val="8"/>
      <color indexed="81"/>
      <name val="Tahoma"/>
      <family val="2"/>
    </font>
    <font>
      <b/>
      <sz val="10"/>
      <color indexed="81"/>
      <name val="Tahoma"/>
      <family val="2"/>
    </font>
    <font>
      <b/>
      <sz val="11"/>
      <color indexed="81"/>
      <name val="Tahoma"/>
      <family val="2"/>
    </font>
    <font>
      <sz val="10"/>
      <color indexed="8"/>
      <name val="Arial"/>
      <family val="2"/>
    </font>
    <font>
      <b/>
      <i/>
      <sz val="11"/>
      <name val="Arial"/>
      <family val="2"/>
    </font>
    <font>
      <sz val="14"/>
      <color indexed="22"/>
      <name val="Arial"/>
      <family val="2"/>
    </font>
    <font>
      <sz val="18"/>
      <name val="Arial"/>
      <family val="2"/>
    </font>
    <font>
      <b/>
      <sz val="18"/>
      <name val="Arial"/>
      <family val="2"/>
    </font>
    <font>
      <b/>
      <sz val="11"/>
      <name val="Calibri"/>
      <family val="2"/>
    </font>
    <font>
      <sz val="11"/>
      <color theme="1"/>
      <name val="Calibri"/>
      <family val="2"/>
      <scheme val="minor"/>
    </font>
    <font>
      <sz val="11"/>
      <color theme="0"/>
      <name val="Arial"/>
      <family val="2"/>
    </font>
    <font>
      <sz val="10"/>
      <color theme="0"/>
      <name val="Arial"/>
      <family val="2"/>
    </font>
    <font>
      <sz val="12"/>
      <color theme="0"/>
      <name val="Arial"/>
      <family val="2"/>
    </font>
    <font>
      <sz val="12"/>
      <color theme="1"/>
      <name val="Arial"/>
      <family val="2"/>
    </font>
    <font>
      <sz val="14"/>
      <color theme="1"/>
      <name val="Arial"/>
      <family val="2"/>
    </font>
    <font>
      <sz val="11"/>
      <name val="Calibri"/>
      <family val="2"/>
      <scheme val="minor"/>
    </font>
    <font>
      <b/>
      <sz val="12"/>
      <name val="Calibri"/>
      <family val="2"/>
      <scheme val="minor"/>
    </font>
    <font>
      <b/>
      <sz val="11"/>
      <name val="Calibri"/>
      <family val="2"/>
      <scheme val="minor"/>
    </font>
    <font>
      <sz val="8"/>
      <color theme="1"/>
      <name val="Calibri"/>
      <family val="2"/>
      <scheme val="minor"/>
    </font>
    <font>
      <sz val="12"/>
      <name val="Calibri"/>
      <family val="2"/>
      <scheme val="minor"/>
    </font>
    <font>
      <sz val="11"/>
      <color indexed="8"/>
      <name val="Calibri"/>
      <family val="2"/>
      <scheme val="minor"/>
    </font>
    <font>
      <sz val="9"/>
      <name val="MetaNormalLF-Roman"/>
      <family val="2"/>
    </font>
  </fonts>
  <fills count="27">
    <fill>
      <patternFill patternType="none"/>
    </fill>
    <fill>
      <patternFill patternType="gray125"/>
    </fill>
    <fill>
      <patternFill patternType="solid">
        <fgColor indexed="43"/>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indexed="43"/>
        <bgColor indexed="26"/>
      </patternFill>
    </fill>
    <fill>
      <patternFill patternType="solid">
        <fgColor indexed="51"/>
        <bgColor indexed="64"/>
      </patternFill>
    </fill>
    <fill>
      <patternFill patternType="solid">
        <fgColor indexed="50"/>
        <bgColor indexed="64"/>
      </patternFill>
    </fill>
    <fill>
      <patternFill patternType="solid">
        <fgColor theme="0"/>
        <bgColor indexed="64"/>
      </patternFill>
    </fill>
    <fill>
      <patternFill patternType="solid">
        <fgColor theme="9" tint="0.39997558519241921"/>
        <bgColor indexed="64"/>
      </patternFill>
    </fill>
    <fill>
      <patternFill patternType="solid">
        <fgColor rgb="FFFFFF66"/>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CC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rgb="FFFFF0C1"/>
        <bgColor indexed="64"/>
      </patternFill>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rgb="FFFFCC99"/>
        <bgColor indexed="64"/>
      </patternFill>
    </fill>
    <fill>
      <patternFill patternType="solid">
        <fgColor rgb="FFFFFF99"/>
        <bgColor indexed="64"/>
      </patternFill>
    </fill>
  </fills>
  <borders count="4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thin">
        <color theme="6" tint="0.39997558519241921"/>
      </left>
      <right/>
      <top style="thin">
        <color theme="6" tint="0.39997558519241921"/>
      </top>
      <bottom/>
      <diagonal/>
    </border>
    <border>
      <left/>
      <right/>
      <top style="thin">
        <color theme="6" tint="0.39997558519241921"/>
      </top>
      <bottom/>
      <diagonal/>
    </border>
    <border>
      <left/>
      <right style="thin">
        <color theme="6" tint="0.39997558519241921"/>
      </right>
      <top style="thin">
        <color theme="6" tint="0.39997558519241921"/>
      </top>
      <bottom/>
      <diagonal/>
    </border>
    <border>
      <left style="thin">
        <color theme="6" tint="0.39997558519241921"/>
      </left>
      <right/>
      <top/>
      <bottom/>
      <diagonal/>
    </border>
    <border>
      <left/>
      <right style="thin">
        <color theme="6" tint="0.39997558519241921"/>
      </right>
      <top/>
      <bottom/>
      <diagonal/>
    </border>
    <border>
      <left style="thin">
        <color theme="6" tint="0.39997558519241921"/>
      </left>
      <right/>
      <top/>
      <bottom style="thin">
        <color theme="6" tint="0.39997558519241921"/>
      </bottom>
      <diagonal/>
    </border>
    <border>
      <left/>
      <right/>
      <top/>
      <bottom style="thin">
        <color theme="6" tint="0.39997558519241921"/>
      </bottom>
      <diagonal/>
    </border>
    <border>
      <left/>
      <right style="thin">
        <color theme="6" tint="0.39997558519241921"/>
      </right>
      <top/>
      <bottom style="thin">
        <color theme="6" tint="0.39997558519241921"/>
      </bottom>
      <diagonal/>
    </border>
    <border>
      <left/>
      <right/>
      <top style="thin">
        <color theme="0"/>
      </top>
      <bottom/>
      <diagonal/>
    </border>
    <border>
      <left/>
      <right style="thin">
        <color theme="0"/>
      </right>
      <top style="thin">
        <color theme="0"/>
      </top>
      <bottom/>
      <diagonal/>
    </border>
    <border>
      <left/>
      <right/>
      <top/>
      <bottom style="thin">
        <color theme="6" tint="-0.249977111117893"/>
      </bottom>
      <diagonal/>
    </border>
    <border>
      <left/>
      <right style="thin">
        <color theme="6" tint="-0.249977111117893"/>
      </right>
      <top/>
      <bottom/>
      <diagonal/>
    </border>
    <border>
      <left style="thin">
        <color theme="6" tint="-0.249977111117893"/>
      </left>
      <right/>
      <top style="thin">
        <color theme="6" tint="-0.249977111117893"/>
      </top>
      <bottom/>
      <diagonal/>
    </border>
    <border>
      <left/>
      <right style="thin">
        <color theme="6" tint="-0.249977111117893"/>
      </right>
      <top style="thin">
        <color theme="6" tint="-0.249977111117893"/>
      </top>
      <bottom/>
      <diagonal/>
    </border>
    <border>
      <left style="thin">
        <color theme="6" tint="-0.249977111117893"/>
      </left>
      <right style="thin">
        <color theme="6" tint="-0.249977111117893"/>
      </right>
      <top style="thin">
        <color theme="6" tint="-0.249977111117893"/>
      </top>
      <bottom/>
      <diagonal/>
    </border>
    <border>
      <left style="thin">
        <color theme="6" tint="-0.249977111117893"/>
      </left>
      <right style="thin">
        <color theme="6" tint="-0.249977111117893"/>
      </right>
      <top/>
      <bottom style="thin">
        <color theme="6" tint="0.39997558519241921"/>
      </bottom>
      <diagonal/>
    </border>
  </borders>
  <cellStyleXfs count="18">
    <xf numFmtId="0" fontId="0" fillId="0" borderId="0"/>
    <xf numFmtId="221" fontId="4" fillId="0" borderId="0" applyFont="0" applyFill="0" applyBorder="0" applyAlignment="0" applyProtection="0"/>
    <xf numFmtId="43" fontId="40" fillId="0" borderId="0" applyFont="0" applyFill="0" applyBorder="0" applyAlignment="0" applyProtection="0"/>
    <xf numFmtId="175" fontId="4" fillId="0" borderId="0" applyFont="0" applyFill="0" applyBorder="0" applyAlignment="0" applyProtection="0"/>
    <xf numFmtId="43" fontId="40" fillId="0" borderId="0" applyFont="0" applyFill="0" applyBorder="0" applyAlignment="0" applyProtection="0"/>
    <xf numFmtId="193" fontId="4" fillId="0" borderId="0" applyFont="0" applyFill="0" applyBorder="0" applyAlignment="0" applyProtection="0"/>
    <xf numFmtId="43" fontId="40" fillId="0" borderId="0" applyFont="0" applyFill="0" applyBorder="0" applyAlignment="0" applyProtection="0"/>
    <xf numFmtId="0" fontId="10" fillId="0" borderId="0" applyNumberFormat="0" applyFill="0" applyBorder="0" applyAlignment="0" applyProtection="0">
      <alignment vertical="top"/>
      <protection locked="0"/>
    </xf>
    <xf numFmtId="0" fontId="20" fillId="2" borderId="0" applyNumberFormat="0" applyBorder="0" applyAlignment="0" applyProtection="0"/>
    <xf numFmtId="9" fontId="40" fillId="0" borderId="0" applyFont="0" applyFill="0" applyBorder="0" applyAlignment="0" applyProtection="0"/>
    <xf numFmtId="9" fontId="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4" fillId="0" borderId="0"/>
    <xf numFmtId="0" fontId="40" fillId="0" borderId="0"/>
    <xf numFmtId="0" fontId="40" fillId="0" borderId="0"/>
    <xf numFmtId="44" fontId="40" fillId="0" borderId="0" applyFont="0" applyFill="0" applyBorder="0" applyAlignment="0" applyProtection="0"/>
    <xf numFmtId="182" fontId="4" fillId="0" borderId="0" applyFont="0" applyFill="0" applyBorder="0" applyAlignment="0" applyProtection="0"/>
  </cellStyleXfs>
  <cellXfs count="872">
    <xf numFmtId="0" fontId="0" fillId="0" borderId="0" xfId="0"/>
    <xf numFmtId="0" fontId="3" fillId="0" borderId="0" xfId="0" applyFont="1" applyFill="1" applyBorder="1" applyProtection="1">
      <protection hidden="1"/>
    </xf>
    <xf numFmtId="174" fontId="3" fillId="0" borderId="0" xfId="0" applyNumberFormat="1" applyFont="1" applyFill="1" applyBorder="1" applyProtection="1">
      <protection hidden="1"/>
    </xf>
    <xf numFmtId="176" fontId="3" fillId="0" borderId="0" xfId="3" applyNumberFormat="1" applyFont="1" applyFill="1" applyBorder="1" applyProtection="1">
      <protection hidden="1"/>
    </xf>
    <xf numFmtId="177" fontId="3" fillId="0" borderId="0" xfId="0" applyNumberFormat="1" applyFont="1" applyFill="1" applyBorder="1" applyProtection="1">
      <protection hidden="1"/>
    </xf>
    <xf numFmtId="9" fontId="3" fillId="0" borderId="0" xfId="9" applyFont="1" applyFill="1" applyBorder="1" applyProtection="1">
      <protection hidden="1"/>
    </xf>
    <xf numFmtId="0" fontId="4" fillId="0" borderId="0" xfId="0" applyFont="1" applyFill="1" applyBorder="1" applyProtection="1">
      <protection hidden="1"/>
    </xf>
    <xf numFmtId="0" fontId="3" fillId="0" borderId="0" xfId="0" applyFont="1" applyFill="1" applyBorder="1" applyAlignment="1" applyProtection="1">
      <alignment horizontal="right" vertical="center"/>
      <protection hidden="1"/>
    </xf>
    <xf numFmtId="173" fontId="3" fillId="0" borderId="0" xfId="16" applyNumberFormat="1" applyFont="1" applyFill="1" applyBorder="1" applyProtection="1">
      <protection hidden="1"/>
    </xf>
    <xf numFmtId="0" fontId="41" fillId="0" borderId="0" xfId="13" applyFont="1" applyProtection="1">
      <protection hidden="1"/>
    </xf>
    <xf numFmtId="0" fontId="5" fillId="0" borderId="0" xfId="13" applyFont="1" applyFill="1" applyProtection="1">
      <protection hidden="1"/>
    </xf>
    <xf numFmtId="0" fontId="5" fillId="0" borderId="0" xfId="13" applyFont="1" applyBorder="1" applyProtection="1">
      <protection hidden="1"/>
    </xf>
    <xf numFmtId="0" fontId="5" fillId="0" borderId="0" xfId="13" applyFont="1" applyFill="1" applyBorder="1" applyAlignment="1" applyProtection="1">
      <alignment horizontal="center" vertical="center" wrapText="1"/>
    </xf>
    <xf numFmtId="0" fontId="6" fillId="0" borderId="0" xfId="13" applyFont="1" applyFill="1" applyBorder="1" applyAlignment="1" applyProtection="1">
      <alignment horizontal="right" vertical="center" indent="1"/>
    </xf>
    <xf numFmtId="0" fontId="5" fillId="0" borderId="0" xfId="13" applyFont="1" applyFill="1" applyBorder="1" applyAlignment="1" applyProtection="1">
      <alignment horizontal="right" vertical="center" indent="1"/>
      <protection hidden="1"/>
    </xf>
    <xf numFmtId="0" fontId="5" fillId="0" borderId="0" xfId="13" applyFont="1" applyFill="1" applyBorder="1" applyAlignment="1" applyProtection="1">
      <alignment horizontal="right" vertical="center" indent="1"/>
    </xf>
    <xf numFmtId="0" fontId="5" fillId="0" borderId="0" xfId="13" applyFont="1" applyFill="1" applyBorder="1" applyAlignment="1" applyProtection="1">
      <protection hidden="1"/>
    </xf>
    <xf numFmtId="0" fontId="7" fillId="0" borderId="0" xfId="13" applyFont="1" applyFill="1" applyBorder="1" applyAlignment="1" applyProtection="1">
      <alignment horizontal="right" vertical="center" indent="1"/>
      <protection hidden="1"/>
    </xf>
    <xf numFmtId="0" fontId="3" fillId="0" borderId="0" xfId="13" applyFont="1" applyFill="1" applyProtection="1">
      <protection hidden="1"/>
    </xf>
    <xf numFmtId="184" fontId="5" fillId="0" borderId="0" xfId="13" applyNumberFormat="1" applyFont="1" applyFill="1" applyBorder="1" applyAlignment="1" applyProtection="1">
      <alignment horizontal="right" vertical="center" indent="1"/>
      <protection hidden="1"/>
    </xf>
    <xf numFmtId="0" fontId="4" fillId="0" borderId="0" xfId="13" applyFill="1" applyAlignment="1" applyProtection="1">
      <alignment horizontal="right" vertical="top" indent="1"/>
    </xf>
    <xf numFmtId="185" fontId="3" fillId="0" borderId="0" xfId="13" applyNumberFormat="1" applyFont="1" applyFill="1" applyBorder="1" applyAlignment="1" applyProtection="1">
      <alignment horizontal="right" vertical="center" indent="1"/>
    </xf>
    <xf numFmtId="0" fontId="5" fillId="0" borderId="0" xfId="13" applyFont="1" applyFill="1" applyBorder="1" applyAlignment="1" applyProtection="1">
      <alignment horizontal="right" vertical="center"/>
    </xf>
    <xf numFmtId="185" fontId="6" fillId="0" borderId="0" xfId="13" applyNumberFormat="1" applyFont="1" applyFill="1" applyBorder="1" applyAlignment="1" applyProtection="1">
      <alignment horizontal="right" vertical="center" indent="1"/>
    </xf>
    <xf numFmtId="0" fontId="5" fillId="0" borderId="0" xfId="13" applyFont="1" applyFill="1" applyProtection="1"/>
    <xf numFmtId="0" fontId="3" fillId="0" borderId="0" xfId="13" applyFont="1" applyFill="1" applyBorder="1" applyAlignment="1" applyProtection="1">
      <alignment horizontal="right" vertical="center" indent="1"/>
    </xf>
    <xf numFmtId="180" fontId="3" fillId="0" borderId="0" xfId="13" applyNumberFormat="1" applyFont="1" applyFill="1" applyBorder="1" applyAlignment="1" applyProtection="1">
      <alignment horizontal="right" vertical="center" indent="1"/>
      <protection hidden="1"/>
    </xf>
    <xf numFmtId="171" fontId="3" fillId="0" borderId="0" xfId="13" applyNumberFormat="1" applyFont="1" applyFill="1" applyBorder="1" applyAlignment="1" applyProtection="1">
      <alignment horizontal="right" vertical="center" indent="1"/>
    </xf>
    <xf numFmtId="177" fontId="3" fillId="0" borderId="0" xfId="13" applyNumberFormat="1" applyFont="1" applyFill="1" applyBorder="1" applyAlignment="1" applyProtection="1">
      <alignment horizontal="right" vertical="center" indent="1"/>
    </xf>
    <xf numFmtId="0" fontId="5" fillId="0" borderId="0" xfId="13" applyFont="1" applyFill="1" applyBorder="1" applyAlignment="1" applyProtection="1">
      <alignment vertical="top"/>
    </xf>
    <xf numFmtId="186" fontId="3" fillId="0" borderId="0" xfId="13" applyNumberFormat="1" applyFont="1" applyFill="1" applyBorder="1" applyAlignment="1" applyProtection="1">
      <alignment horizontal="right" vertical="center" indent="1"/>
      <protection hidden="1"/>
    </xf>
    <xf numFmtId="177" fontId="5" fillId="0" borderId="0" xfId="13" applyNumberFormat="1" applyFont="1" applyFill="1" applyBorder="1" applyAlignment="1" applyProtection="1">
      <alignment horizontal="right" vertical="center" indent="1"/>
    </xf>
    <xf numFmtId="188" fontId="3" fillId="0" borderId="0" xfId="13" applyNumberFormat="1" applyFont="1" applyFill="1" applyBorder="1" applyAlignment="1" applyProtection="1">
      <alignment horizontal="right" vertical="center" indent="1"/>
      <protection hidden="1"/>
    </xf>
    <xf numFmtId="0" fontId="4" fillId="0" borderId="0" xfId="13" applyFont="1" applyFill="1" applyBorder="1" applyAlignment="1" applyProtection="1"/>
    <xf numFmtId="0" fontId="5" fillId="0" borderId="0" xfId="13" applyFont="1" applyFill="1" applyAlignment="1" applyProtection="1">
      <alignment horizontal="left" vertical="center" indent="1"/>
    </xf>
    <xf numFmtId="0" fontId="5" fillId="0" borderId="0" xfId="13" applyFont="1" applyFill="1" applyAlignment="1" applyProtection="1">
      <alignment vertical="center"/>
    </xf>
    <xf numFmtId="49" fontId="6" fillId="0" borderId="0" xfId="13" applyNumberFormat="1" applyFont="1" applyFill="1" applyBorder="1" applyAlignment="1" applyProtection="1">
      <alignment vertical="center" wrapText="1"/>
    </xf>
    <xf numFmtId="178" fontId="4" fillId="0" borderId="0" xfId="13" applyNumberFormat="1" applyFont="1" applyFill="1" applyBorder="1" applyAlignment="1" applyProtection="1"/>
    <xf numFmtId="0" fontId="4" fillId="0" borderId="0" xfId="13" applyFont="1" applyFill="1" applyBorder="1" applyAlignment="1" applyProtection="1">
      <alignment horizontal="right"/>
    </xf>
    <xf numFmtId="189" fontId="3" fillId="0" borderId="0" xfId="13" applyNumberFormat="1" applyFont="1" applyFill="1" applyBorder="1" applyAlignment="1" applyProtection="1">
      <alignment horizontal="right" vertical="center" indent="1"/>
      <protection hidden="1"/>
    </xf>
    <xf numFmtId="0" fontId="4" fillId="0" borderId="0" xfId="13" applyFont="1" applyFill="1" applyBorder="1" applyAlignment="1" applyProtection="1">
      <alignment horizontal="center" vertical="center"/>
      <protection hidden="1"/>
    </xf>
    <xf numFmtId="0" fontId="4" fillId="0" borderId="0" xfId="13" applyFont="1" applyFill="1" applyBorder="1" applyAlignment="1" applyProtection="1">
      <alignment horizontal="right" vertical="center" indent="1"/>
    </xf>
    <xf numFmtId="0" fontId="8" fillId="0" borderId="0" xfId="13" applyFont="1" applyFill="1" applyBorder="1" applyAlignment="1" applyProtection="1">
      <alignment vertical="center"/>
      <protection hidden="1"/>
    </xf>
    <xf numFmtId="178" fontId="4" fillId="0" borderId="0" xfId="13" applyNumberFormat="1" applyFont="1" applyFill="1" applyBorder="1" applyProtection="1">
      <protection hidden="1"/>
    </xf>
    <xf numFmtId="9" fontId="3" fillId="0" borderId="0" xfId="10" applyFont="1" applyFill="1" applyBorder="1" applyProtection="1">
      <protection hidden="1"/>
    </xf>
    <xf numFmtId="0" fontId="3" fillId="0" borderId="0" xfId="13" applyFont="1" applyFill="1" applyBorder="1" applyProtection="1">
      <protection hidden="1"/>
    </xf>
    <xf numFmtId="191" fontId="4" fillId="0" borderId="0" xfId="13" applyNumberFormat="1" applyFont="1" applyFill="1" applyBorder="1" applyProtection="1">
      <protection hidden="1"/>
    </xf>
    <xf numFmtId="192" fontId="4" fillId="0" borderId="0" xfId="13" applyNumberFormat="1" applyFont="1" applyFill="1" applyBorder="1" applyProtection="1">
      <protection hidden="1"/>
    </xf>
    <xf numFmtId="178" fontId="5" fillId="0" borderId="0" xfId="13" applyNumberFormat="1" applyFont="1" applyFill="1" applyBorder="1" applyProtection="1">
      <protection hidden="1"/>
    </xf>
    <xf numFmtId="183" fontId="4" fillId="0" borderId="0" xfId="13" applyNumberFormat="1" applyFont="1" applyFill="1" applyBorder="1" applyProtection="1">
      <protection hidden="1"/>
    </xf>
    <xf numFmtId="178" fontId="4" fillId="0" borderId="0" xfId="5" applyNumberFormat="1" applyFont="1" applyFill="1" applyBorder="1" applyProtection="1">
      <protection hidden="1"/>
    </xf>
    <xf numFmtId="177" fontId="3" fillId="0" borderId="0" xfId="13" applyNumberFormat="1" applyFont="1" applyFill="1" applyBorder="1" applyProtection="1">
      <protection hidden="1"/>
    </xf>
    <xf numFmtId="0" fontId="3" fillId="0" borderId="0" xfId="13" applyFont="1" applyFill="1" applyBorder="1" applyAlignment="1" applyProtection="1">
      <alignment horizontal="right"/>
      <protection hidden="1"/>
    </xf>
    <xf numFmtId="49" fontId="4" fillId="0" borderId="0" xfId="13" applyNumberFormat="1" applyFont="1" applyFill="1" applyBorder="1" applyAlignment="1" applyProtection="1">
      <alignment horizontal="right" wrapText="1"/>
      <protection hidden="1"/>
    </xf>
    <xf numFmtId="0" fontId="5" fillId="0" borderId="0" xfId="13" applyFont="1" applyAlignment="1" applyProtection="1">
      <alignment horizontal="right"/>
      <protection hidden="1"/>
    </xf>
    <xf numFmtId="185" fontId="4" fillId="0" borderId="0" xfId="13" applyNumberFormat="1" applyFont="1" applyFill="1" applyBorder="1" applyProtection="1"/>
    <xf numFmtId="17" fontId="4" fillId="0" borderId="0" xfId="13" applyNumberFormat="1" applyFont="1" applyFill="1" applyBorder="1" applyProtection="1"/>
    <xf numFmtId="194" fontId="3" fillId="0" borderId="0" xfId="13" applyNumberFormat="1" applyFont="1" applyFill="1" applyBorder="1" applyProtection="1">
      <protection hidden="1"/>
    </xf>
    <xf numFmtId="0" fontId="4" fillId="0" borderId="0" xfId="13" applyFont="1" applyFill="1" applyBorder="1" applyAlignment="1" applyProtection="1">
      <alignment horizontal="left" vertical="center" indent="1"/>
      <protection hidden="1"/>
    </xf>
    <xf numFmtId="0" fontId="4" fillId="0" borderId="0" xfId="13" applyFill="1" applyAlignment="1" applyProtection="1">
      <alignment wrapText="1"/>
    </xf>
    <xf numFmtId="0" fontId="4" fillId="0" borderId="0" xfId="13" applyFont="1" applyBorder="1" applyAlignment="1" applyProtection="1">
      <alignment horizontal="left" vertical="center" indent="1"/>
      <protection hidden="1"/>
    </xf>
    <xf numFmtId="194" fontId="5" fillId="0" borderId="0" xfId="13" applyNumberFormat="1" applyFont="1" applyFill="1" applyBorder="1" applyProtection="1">
      <protection hidden="1"/>
    </xf>
    <xf numFmtId="0" fontId="4" fillId="0" borderId="0" xfId="13" applyFont="1" applyBorder="1" applyProtection="1">
      <protection hidden="1"/>
    </xf>
    <xf numFmtId="0" fontId="3" fillId="0" borderId="0" xfId="13" applyFont="1" applyFill="1" applyBorder="1" applyProtection="1"/>
    <xf numFmtId="6" fontId="5" fillId="0" borderId="0" xfId="13" applyNumberFormat="1" applyFont="1" applyFill="1" applyBorder="1" applyProtection="1">
      <protection hidden="1"/>
    </xf>
    <xf numFmtId="0" fontId="3" fillId="0" borderId="0" xfId="13" applyFont="1" applyFill="1" applyBorder="1" applyAlignment="1" applyProtection="1">
      <alignment horizontal="center"/>
      <protection hidden="1"/>
    </xf>
    <xf numFmtId="2" fontId="4" fillId="0" borderId="0" xfId="13" applyNumberFormat="1" applyFont="1" applyFill="1" applyBorder="1" applyProtection="1">
      <protection hidden="1"/>
    </xf>
    <xf numFmtId="194" fontId="5" fillId="0" borderId="0" xfId="13" applyNumberFormat="1" applyFont="1" applyFill="1" applyProtection="1">
      <protection hidden="1"/>
    </xf>
    <xf numFmtId="0" fontId="8" fillId="0" borderId="0" xfId="13" applyFont="1" applyFill="1" applyBorder="1" applyProtection="1">
      <protection hidden="1"/>
    </xf>
    <xf numFmtId="1" fontId="3" fillId="0" borderId="0" xfId="13" applyNumberFormat="1" applyFont="1" applyFill="1" applyBorder="1" applyProtection="1">
      <protection hidden="1"/>
    </xf>
    <xf numFmtId="0" fontId="4" fillId="0" borderId="0" xfId="13" applyAlignment="1" applyProtection="1"/>
    <xf numFmtId="0" fontId="42" fillId="0" borderId="0" xfId="13" applyFont="1" applyAlignment="1" applyProtection="1"/>
    <xf numFmtId="0" fontId="4" fillId="0" borderId="0" xfId="13" applyFont="1" applyAlignment="1" applyProtection="1"/>
    <xf numFmtId="0" fontId="4" fillId="0" borderId="0" xfId="13" applyFont="1" applyFill="1" applyAlignment="1" applyProtection="1"/>
    <xf numFmtId="2" fontId="3" fillId="0" borderId="0" xfId="13" applyNumberFormat="1" applyFont="1" applyFill="1" applyBorder="1" applyAlignment="1" applyProtection="1">
      <alignment horizontal="right"/>
      <protection hidden="1"/>
    </xf>
    <xf numFmtId="0" fontId="41" fillId="0" borderId="0" xfId="13" applyFont="1" applyBorder="1" applyProtection="1">
      <protection hidden="1"/>
    </xf>
    <xf numFmtId="195" fontId="8" fillId="0" borderId="0" xfId="13" applyNumberFormat="1" applyFont="1" applyFill="1" applyBorder="1" applyAlignment="1" applyProtection="1">
      <alignment vertical="center"/>
      <protection hidden="1"/>
    </xf>
    <xf numFmtId="0" fontId="8" fillId="0" borderId="0" xfId="13" applyFont="1" applyFill="1" applyBorder="1" applyAlignment="1" applyProtection="1">
      <protection hidden="1"/>
    </xf>
    <xf numFmtId="195" fontId="8" fillId="0" borderId="0" xfId="13" applyNumberFormat="1" applyFont="1" applyBorder="1" applyAlignment="1" applyProtection="1">
      <alignment vertical="center"/>
      <protection hidden="1"/>
    </xf>
    <xf numFmtId="4" fontId="8" fillId="0" borderId="0" xfId="13" applyNumberFormat="1" applyFont="1" applyFill="1" applyBorder="1" applyProtection="1">
      <protection hidden="1"/>
    </xf>
    <xf numFmtId="4" fontId="8" fillId="0" borderId="0" xfId="13" applyNumberFormat="1" applyFont="1" applyBorder="1" applyProtection="1">
      <protection hidden="1"/>
    </xf>
    <xf numFmtId="0" fontId="8" fillId="0" borderId="0" xfId="13" applyFont="1" applyBorder="1" applyProtection="1">
      <protection hidden="1"/>
    </xf>
    <xf numFmtId="0" fontId="8" fillId="0" borderId="0" xfId="13" applyFont="1" applyBorder="1" applyAlignment="1" applyProtection="1">
      <protection hidden="1"/>
    </xf>
    <xf numFmtId="0" fontId="4" fillId="0" borderId="0" xfId="13" applyFont="1" applyBorder="1" applyAlignment="1" applyProtection="1">
      <protection hidden="1"/>
    </xf>
    <xf numFmtId="8" fontId="4" fillId="0" borderId="0" xfId="13" applyNumberFormat="1" applyFont="1" applyFill="1" applyBorder="1" applyProtection="1"/>
    <xf numFmtId="4" fontId="8" fillId="0" borderId="0" xfId="13" applyNumberFormat="1" applyFont="1" applyFill="1" applyBorder="1" applyAlignment="1" applyProtection="1">
      <protection hidden="1"/>
    </xf>
    <xf numFmtId="4" fontId="8" fillId="0" borderId="0" xfId="13" applyNumberFormat="1" applyFont="1" applyBorder="1" applyAlignment="1" applyProtection="1">
      <protection hidden="1"/>
    </xf>
    <xf numFmtId="0" fontId="9" fillId="0" borderId="0" xfId="13" applyFont="1" applyFill="1" applyBorder="1" applyAlignment="1" applyProtection="1">
      <alignment vertical="center"/>
    </xf>
    <xf numFmtId="0" fontId="8" fillId="0" borderId="0" xfId="13" applyFont="1" applyFill="1" applyBorder="1" applyAlignment="1" applyProtection="1">
      <alignment horizontal="right" vertical="center"/>
      <protection hidden="1"/>
    </xf>
    <xf numFmtId="0" fontId="8" fillId="0" borderId="0" xfId="13" applyFont="1" applyBorder="1" applyAlignment="1" applyProtection="1">
      <alignment horizontal="right" vertical="center"/>
      <protection hidden="1"/>
    </xf>
    <xf numFmtId="8" fontId="4" fillId="0" borderId="0" xfId="13" applyNumberFormat="1" applyFont="1" applyBorder="1" applyProtection="1"/>
    <xf numFmtId="0" fontId="4" fillId="0" borderId="0" xfId="13" applyFont="1" applyFill="1" applyBorder="1" applyAlignment="1" applyProtection="1">
      <alignment horizontal="right" vertical="center"/>
    </xf>
    <xf numFmtId="0" fontId="4" fillId="0" borderId="0" xfId="13" applyFont="1" applyBorder="1" applyAlignment="1" applyProtection="1">
      <alignment horizontal="right" vertical="center"/>
    </xf>
    <xf numFmtId="0" fontId="4" fillId="0" borderId="0" xfId="13" applyFont="1" applyFill="1" applyBorder="1" applyAlignment="1" applyProtection="1">
      <alignment horizontal="right"/>
      <protection hidden="1"/>
    </xf>
    <xf numFmtId="0" fontId="4" fillId="0" borderId="0" xfId="13" applyFont="1" applyBorder="1" applyAlignment="1" applyProtection="1">
      <alignment horizontal="right"/>
      <protection hidden="1"/>
    </xf>
    <xf numFmtId="0" fontId="9" fillId="0" borderId="0" xfId="13" applyFont="1" applyBorder="1" applyAlignment="1" applyProtection="1">
      <alignment vertical="center"/>
    </xf>
    <xf numFmtId="4" fontId="4" fillId="0" borderId="0" xfId="13" applyNumberFormat="1" applyFont="1" applyFill="1" applyBorder="1" applyProtection="1">
      <protection hidden="1"/>
    </xf>
    <xf numFmtId="4" fontId="4" fillId="0" borderId="0" xfId="13" applyNumberFormat="1" applyFont="1" applyBorder="1" applyProtection="1">
      <protection hidden="1"/>
    </xf>
    <xf numFmtId="0" fontId="4" fillId="0" borderId="0" xfId="13" applyFont="1" applyBorder="1" applyAlignment="1" applyProtection="1">
      <alignment horizontal="right"/>
    </xf>
    <xf numFmtId="0" fontId="41" fillId="0" borderId="0" xfId="13" applyFont="1" applyFill="1" applyBorder="1" applyProtection="1">
      <protection hidden="1"/>
    </xf>
    <xf numFmtId="0" fontId="4" fillId="0" borderId="0" xfId="13" applyFont="1" applyBorder="1" applyAlignment="1" applyProtection="1"/>
    <xf numFmtId="0" fontId="4" fillId="0" borderId="0" xfId="13" applyFont="1" applyBorder="1" applyAlignment="1" applyProtection="1">
      <alignment vertical="center"/>
    </xf>
    <xf numFmtId="49" fontId="10" fillId="0" borderId="0" xfId="7" applyNumberFormat="1" applyFont="1" applyFill="1" applyBorder="1" applyAlignment="1" applyProtection="1">
      <protection hidden="1"/>
    </xf>
    <xf numFmtId="49" fontId="10" fillId="0" borderId="0" xfId="7" applyNumberFormat="1" applyFont="1" applyBorder="1" applyAlignment="1" applyProtection="1">
      <protection hidden="1"/>
    </xf>
    <xf numFmtId="0" fontId="8" fillId="0" borderId="0" xfId="13" applyFont="1" applyFill="1" applyBorder="1" applyAlignment="1" applyProtection="1">
      <alignment horizontal="right"/>
    </xf>
    <xf numFmtId="0" fontId="8" fillId="0" borderId="0" xfId="13" applyFont="1" applyBorder="1" applyAlignment="1" applyProtection="1">
      <alignment horizontal="right"/>
    </xf>
    <xf numFmtId="171" fontId="3" fillId="0" borderId="0" xfId="10" applyNumberFormat="1" applyFont="1" applyFill="1" applyBorder="1" applyAlignment="1" applyProtection="1">
      <alignment horizontal="right" vertical="center" indent="1"/>
    </xf>
    <xf numFmtId="177" fontId="9" fillId="0" borderId="0" xfId="13" applyNumberFormat="1" applyFont="1" applyFill="1" applyBorder="1" applyAlignment="1" applyProtection="1">
      <alignment horizontal="right" vertical="center" indent="1"/>
    </xf>
    <xf numFmtId="177" fontId="12" fillId="3" borderId="0" xfId="13" applyNumberFormat="1" applyFont="1" applyFill="1" applyBorder="1" applyAlignment="1" applyProtection="1">
      <alignment horizontal="right" vertical="center" indent="1"/>
      <protection hidden="1"/>
    </xf>
    <xf numFmtId="0" fontId="8" fillId="0" borderId="0" xfId="13" applyFont="1" applyFill="1" applyBorder="1" applyAlignment="1" applyProtection="1">
      <alignment horizontal="right" vertical="center" indent="1"/>
      <protection hidden="1"/>
    </xf>
    <xf numFmtId="0" fontId="41" fillId="0" borderId="0" xfId="13" applyFont="1" applyFill="1" applyProtection="1">
      <protection hidden="1"/>
    </xf>
    <xf numFmtId="183" fontId="5" fillId="0" borderId="0" xfId="13" applyNumberFormat="1" applyFont="1" applyFill="1" applyProtection="1">
      <protection hidden="1"/>
    </xf>
    <xf numFmtId="195" fontId="13" fillId="0" borderId="0" xfId="13" applyNumberFormat="1" applyFont="1" applyFill="1" applyBorder="1" applyAlignment="1" applyProtection="1">
      <alignment vertical="center"/>
      <protection hidden="1"/>
    </xf>
    <xf numFmtId="177" fontId="14" fillId="0" borderId="0" xfId="13" applyNumberFormat="1" applyFont="1" applyFill="1" applyBorder="1" applyAlignment="1" applyProtection="1">
      <alignment horizontal="right" vertical="center" indent="1"/>
    </xf>
    <xf numFmtId="0" fontId="3" fillId="11" borderId="0" xfId="13" applyFont="1" applyFill="1" applyProtection="1">
      <protection hidden="1"/>
    </xf>
    <xf numFmtId="171" fontId="3" fillId="11" borderId="0" xfId="10" applyNumberFormat="1" applyFont="1" applyFill="1" applyBorder="1" applyAlignment="1" applyProtection="1">
      <alignment vertical="center"/>
      <protection hidden="1"/>
    </xf>
    <xf numFmtId="0" fontId="3" fillId="11" borderId="0" xfId="13" applyFont="1" applyFill="1" applyBorder="1" applyAlignment="1" applyProtection="1">
      <alignment horizontal="right" vertical="center" indent="1"/>
      <protection hidden="1"/>
    </xf>
    <xf numFmtId="177" fontId="14" fillId="11" borderId="0" xfId="13" applyNumberFormat="1" applyFont="1" applyFill="1" applyBorder="1" applyAlignment="1" applyProtection="1">
      <alignment horizontal="right" vertical="center" indent="1"/>
    </xf>
    <xf numFmtId="177" fontId="14" fillId="0" borderId="0" xfId="13" applyNumberFormat="1" applyFont="1" applyBorder="1" applyAlignment="1" applyProtection="1">
      <alignment horizontal="right" vertical="center" indent="1"/>
    </xf>
    <xf numFmtId="177" fontId="3" fillId="3" borderId="0" xfId="13" applyNumberFormat="1" applyFont="1" applyFill="1" applyBorder="1" applyAlignment="1" applyProtection="1">
      <alignment horizontal="right" vertical="center" indent="1"/>
      <protection hidden="1"/>
    </xf>
    <xf numFmtId="177" fontId="15" fillId="0" borderId="0" xfId="13" applyNumberFormat="1" applyFont="1" applyBorder="1" applyAlignment="1" applyProtection="1">
      <alignment horizontal="right" vertical="center" indent="1"/>
    </xf>
    <xf numFmtId="177" fontId="3" fillId="0" borderId="0" xfId="13" applyNumberFormat="1" applyFont="1" applyBorder="1" applyAlignment="1" applyProtection="1">
      <alignment horizontal="right" vertical="center" indent="1"/>
      <protection hidden="1"/>
    </xf>
    <xf numFmtId="0" fontId="3" fillId="0" borderId="0" xfId="13" applyFont="1" applyBorder="1" applyAlignment="1" applyProtection="1">
      <alignment horizontal="right" vertical="center" indent="1"/>
      <protection hidden="1"/>
    </xf>
    <xf numFmtId="177" fontId="3" fillId="0" borderId="0" xfId="13" applyNumberFormat="1" applyFont="1" applyFill="1" applyBorder="1" applyAlignment="1" applyProtection="1">
      <alignment horizontal="right" vertical="center" indent="1"/>
      <protection hidden="1"/>
    </xf>
    <xf numFmtId="177" fontId="3" fillId="0" borderId="0" xfId="13" applyNumberFormat="1" applyFont="1" applyBorder="1" applyAlignment="1" applyProtection="1">
      <alignment horizontal="right" vertical="center" indent="1"/>
    </xf>
    <xf numFmtId="0" fontId="3" fillId="0" borderId="0" xfId="13" applyFont="1" applyProtection="1">
      <protection hidden="1"/>
    </xf>
    <xf numFmtId="176" fontId="12" fillId="0" borderId="0" xfId="3" applyNumberFormat="1" applyFont="1" applyBorder="1" applyAlignment="1" applyProtection="1">
      <alignment horizontal="center" vertical="center"/>
      <protection hidden="1"/>
    </xf>
    <xf numFmtId="0" fontId="12" fillId="0" borderId="0" xfId="13" applyFont="1" applyBorder="1" applyAlignment="1" applyProtection="1">
      <alignment horizontal="right" vertical="center"/>
      <protection hidden="1"/>
    </xf>
    <xf numFmtId="6" fontId="12" fillId="0" borderId="0" xfId="13" applyNumberFormat="1" applyFont="1" applyFill="1" applyBorder="1" applyAlignment="1" applyProtection="1">
      <alignment horizontal="right" vertical="center" indent="1"/>
      <protection hidden="1"/>
    </xf>
    <xf numFmtId="6" fontId="12" fillId="0" borderId="0" xfId="13" applyNumberFormat="1" applyFont="1" applyBorder="1" applyAlignment="1" applyProtection="1">
      <alignment horizontal="right" vertical="center" indent="1"/>
      <protection hidden="1"/>
    </xf>
    <xf numFmtId="197" fontId="12" fillId="0" borderId="0" xfId="13" applyNumberFormat="1" applyFont="1" applyFill="1" applyBorder="1" applyAlignment="1" applyProtection="1">
      <alignment horizontal="center" vertical="center"/>
    </xf>
    <xf numFmtId="197" fontId="16" fillId="0" borderId="0" xfId="13" applyNumberFormat="1" applyFont="1" applyBorder="1" applyAlignment="1" applyProtection="1">
      <alignment vertical="center"/>
    </xf>
    <xf numFmtId="176" fontId="12" fillId="0" borderId="0" xfId="3" applyNumberFormat="1" applyFont="1" applyFill="1" applyBorder="1" applyAlignment="1" applyProtection="1">
      <alignment horizontal="center" vertical="center"/>
      <protection hidden="1"/>
    </xf>
    <xf numFmtId="4" fontId="12" fillId="0" borderId="0" xfId="13" applyNumberFormat="1" applyFont="1" applyFill="1" applyBorder="1" applyAlignment="1" applyProtection="1">
      <alignment horizontal="center" vertical="center" wrapText="1"/>
      <protection hidden="1"/>
    </xf>
    <xf numFmtId="4" fontId="12" fillId="0" borderId="0" xfId="13" applyNumberFormat="1" applyFont="1" applyBorder="1" applyAlignment="1" applyProtection="1">
      <alignment horizontal="center" vertical="center" wrapText="1"/>
      <protection hidden="1"/>
    </xf>
    <xf numFmtId="0" fontId="12" fillId="0" borderId="0" xfId="13" applyFont="1" applyFill="1" applyBorder="1" applyAlignment="1" applyProtection="1">
      <alignment horizontal="right" vertical="center"/>
      <protection hidden="1"/>
    </xf>
    <xf numFmtId="177" fontId="5" fillId="0" borderId="0" xfId="13" applyNumberFormat="1" applyFont="1" applyFill="1" applyProtection="1">
      <protection hidden="1"/>
    </xf>
    <xf numFmtId="0" fontId="3" fillId="0" borderId="0" xfId="13" applyFont="1" applyBorder="1" applyProtection="1">
      <protection hidden="1"/>
    </xf>
    <xf numFmtId="176" fontId="12" fillId="0" borderId="0" xfId="3" applyNumberFormat="1" applyFont="1" applyFill="1" applyBorder="1" applyAlignment="1" applyProtection="1">
      <alignment horizontal="right" vertical="center" indent="1"/>
      <protection hidden="1"/>
    </xf>
    <xf numFmtId="176" fontId="12" fillId="0" borderId="0" xfId="3" applyNumberFormat="1" applyFont="1" applyBorder="1" applyAlignment="1" applyProtection="1">
      <alignment horizontal="right" vertical="center" indent="1"/>
      <protection hidden="1"/>
    </xf>
    <xf numFmtId="0" fontId="12" fillId="0" borderId="0" xfId="13" applyFont="1" applyBorder="1" applyAlignment="1" applyProtection="1">
      <alignment horizontal="right" vertical="center" indent="1"/>
      <protection hidden="1"/>
    </xf>
    <xf numFmtId="179" fontId="41" fillId="0" borderId="0" xfId="17" applyNumberFormat="1" applyFont="1" applyProtection="1">
      <protection hidden="1"/>
    </xf>
    <xf numFmtId="0" fontId="17" fillId="0" borderId="1" xfId="13" applyFont="1" applyFill="1" applyBorder="1" applyProtection="1">
      <protection hidden="1"/>
    </xf>
    <xf numFmtId="0" fontId="17" fillId="0" borderId="2" xfId="13" applyFont="1" applyBorder="1" applyProtection="1">
      <protection hidden="1"/>
    </xf>
    <xf numFmtId="176" fontId="13" fillId="0" borderId="2" xfId="3" applyNumberFormat="1" applyFont="1" applyFill="1" applyBorder="1" applyAlignment="1" applyProtection="1">
      <alignment horizontal="right" vertical="center" indent="1"/>
      <protection hidden="1"/>
    </xf>
    <xf numFmtId="176" fontId="13" fillId="0" borderId="2" xfId="3" applyNumberFormat="1" applyFont="1" applyBorder="1" applyAlignment="1" applyProtection="1">
      <alignment horizontal="right" vertical="center" indent="1"/>
      <protection hidden="1"/>
    </xf>
    <xf numFmtId="0" fontId="13" fillId="0" borderId="2" xfId="13" applyFont="1" applyFill="1" applyBorder="1" applyAlignment="1" applyProtection="1">
      <alignment horizontal="right" vertical="center" indent="1"/>
      <protection hidden="1"/>
    </xf>
    <xf numFmtId="196" fontId="4" fillId="5" borderId="3" xfId="13" applyNumberFormat="1" applyFont="1" applyFill="1" applyBorder="1" applyProtection="1">
      <protection locked="0"/>
    </xf>
    <xf numFmtId="0" fontId="4" fillId="5" borderId="4" xfId="13" applyFont="1" applyFill="1" applyBorder="1" applyProtection="1">
      <protection locked="0"/>
    </xf>
    <xf numFmtId="0" fontId="4" fillId="5" borderId="5" xfId="13" applyFont="1" applyFill="1" applyBorder="1" applyProtection="1">
      <protection locked="0"/>
    </xf>
    <xf numFmtId="196" fontId="4" fillId="5" borderId="6" xfId="13" applyNumberFormat="1" applyFont="1" applyFill="1" applyBorder="1" applyProtection="1">
      <protection locked="0"/>
    </xf>
    <xf numFmtId="0" fontId="4" fillId="5" borderId="0" xfId="13" applyFont="1" applyFill="1" applyBorder="1" applyProtection="1">
      <protection locked="0"/>
    </xf>
    <xf numFmtId="0" fontId="4" fillId="5" borderId="7" xfId="13" applyFont="1" applyFill="1" applyBorder="1" applyProtection="1">
      <protection locked="0"/>
    </xf>
    <xf numFmtId="0" fontId="4" fillId="0" borderId="0" xfId="13" applyFont="1" applyFill="1" applyBorder="1" applyAlignment="1" applyProtection="1">
      <alignment horizontal="center"/>
      <protection hidden="1"/>
    </xf>
    <xf numFmtId="49" fontId="4" fillId="0" borderId="0" xfId="13" applyNumberFormat="1" applyFont="1" applyFill="1" applyBorder="1" applyProtection="1">
      <protection hidden="1"/>
    </xf>
    <xf numFmtId="0" fontId="5" fillId="0" borderId="0" xfId="13" applyFont="1" applyFill="1" applyAlignment="1" applyProtection="1">
      <alignment horizontal="center"/>
      <protection hidden="1"/>
    </xf>
    <xf numFmtId="199" fontId="5" fillId="0" borderId="0" xfId="13" applyNumberFormat="1" applyFont="1" applyFill="1" applyProtection="1">
      <protection hidden="1"/>
    </xf>
    <xf numFmtId="200" fontId="4" fillId="0" borderId="0" xfId="13" applyNumberFormat="1" applyFont="1" applyFill="1" applyBorder="1" applyAlignment="1" applyProtection="1">
      <alignment horizontal="center"/>
      <protection hidden="1"/>
    </xf>
    <xf numFmtId="201" fontId="4" fillId="0" borderId="0" xfId="13" applyNumberFormat="1" applyFont="1" applyFill="1" applyBorder="1" applyAlignment="1" applyProtection="1">
      <alignment horizontal="center"/>
      <protection hidden="1"/>
    </xf>
    <xf numFmtId="1" fontId="4" fillId="0" borderId="0" xfId="13" applyNumberFormat="1" applyFont="1" applyFill="1" applyBorder="1" applyProtection="1">
      <protection hidden="1"/>
    </xf>
    <xf numFmtId="1" fontId="4" fillId="0" borderId="0" xfId="13" applyNumberFormat="1" applyFont="1" applyFill="1" applyBorder="1" applyAlignment="1" applyProtection="1">
      <alignment horizontal="center" vertical="center"/>
      <protection hidden="1"/>
    </xf>
    <xf numFmtId="9" fontId="5" fillId="0" borderId="0" xfId="10" applyFont="1" applyFill="1" applyAlignment="1" applyProtection="1">
      <alignment horizontal="center"/>
      <protection hidden="1"/>
    </xf>
    <xf numFmtId="0" fontId="4" fillId="0" borderId="0" xfId="13" applyFont="1" applyFill="1" applyBorder="1" applyAlignment="1" applyProtection="1">
      <alignment horizontal="center"/>
    </xf>
    <xf numFmtId="49" fontId="4" fillId="0" borderId="0" xfId="13" applyNumberFormat="1" applyFont="1" applyFill="1" applyBorder="1" applyAlignment="1" applyProtection="1">
      <alignment horizontal="center" vertical="center"/>
      <protection hidden="1"/>
    </xf>
    <xf numFmtId="1" fontId="5" fillId="0" borderId="0" xfId="10" applyNumberFormat="1" applyFont="1" applyFill="1" applyAlignment="1" applyProtection="1">
      <alignment horizontal="center"/>
      <protection hidden="1"/>
    </xf>
    <xf numFmtId="202" fontId="5" fillId="0" borderId="0" xfId="13" applyNumberFormat="1" applyFont="1" applyFill="1" applyBorder="1" applyAlignment="1" applyProtection="1">
      <alignment horizontal="center"/>
      <protection hidden="1"/>
    </xf>
    <xf numFmtId="2" fontId="3" fillId="0" borderId="0" xfId="13" applyNumberFormat="1" applyFont="1" applyFill="1" applyBorder="1" applyAlignment="1" applyProtection="1">
      <alignment horizontal="right" wrapText="1"/>
    </xf>
    <xf numFmtId="196" fontId="4" fillId="0" borderId="0" xfId="13" applyNumberFormat="1" applyFont="1" applyFill="1" applyBorder="1" applyProtection="1">
      <protection hidden="1"/>
    </xf>
    <xf numFmtId="9" fontId="4" fillId="0" borderId="0" xfId="10" applyFont="1" applyFill="1" applyBorder="1" applyProtection="1">
      <protection hidden="1"/>
    </xf>
    <xf numFmtId="0" fontId="4" fillId="0" borderId="0" xfId="13" applyNumberFormat="1" applyFont="1" applyFill="1" applyBorder="1" applyProtection="1">
      <protection hidden="1"/>
    </xf>
    <xf numFmtId="203" fontId="5" fillId="0" borderId="0" xfId="13" applyNumberFormat="1" applyFont="1" applyFill="1" applyBorder="1" applyProtection="1">
      <protection hidden="1"/>
    </xf>
    <xf numFmtId="200" fontId="5" fillId="0" borderId="0" xfId="13" applyNumberFormat="1" applyFont="1" applyFill="1" applyBorder="1" applyProtection="1">
      <protection hidden="1"/>
    </xf>
    <xf numFmtId="9" fontId="4" fillId="0" borderId="0" xfId="10" applyFont="1" applyFill="1" applyBorder="1" applyProtection="1"/>
    <xf numFmtId="205" fontId="4" fillId="0" borderId="0" xfId="13" applyNumberFormat="1" applyFont="1" applyFill="1" applyBorder="1" applyAlignment="1" applyProtection="1">
      <alignment horizontal="center" wrapText="1"/>
      <protection hidden="1"/>
    </xf>
    <xf numFmtId="178" fontId="5" fillId="0" borderId="0" xfId="17" applyNumberFormat="1" applyFont="1" applyFill="1" applyBorder="1" applyProtection="1">
      <protection hidden="1"/>
    </xf>
    <xf numFmtId="179" fontId="41" fillId="0" borderId="0" xfId="17" applyNumberFormat="1" applyFont="1" applyAlignment="1" applyProtection="1">
      <alignment horizontal="center"/>
      <protection hidden="1"/>
    </xf>
    <xf numFmtId="179" fontId="41" fillId="0" borderId="0" xfId="17" applyNumberFormat="1" applyFont="1" applyFill="1" applyAlignment="1" applyProtection="1">
      <alignment horizontal="center"/>
      <protection hidden="1"/>
    </xf>
    <xf numFmtId="2" fontId="3" fillId="0" borderId="0" xfId="13" applyNumberFormat="1" applyFont="1" applyFill="1" applyBorder="1" applyProtection="1">
      <protection hidden="1"/>
    </xf>
    <xf numFmtId="1" fontId="3" fillId="0" borderId="0" xfId="13" applyNumberFormat="1" applyFont="1" applyFill="1" applyBorder="1" applyAlignment="1" applyProtection="1">
      <alignment horizontal="center"/>
      <protection hidden="1"/>
    </xf>
    <xf numFmtId="2" fontId="4" fillId="0" borderId="0" xfId="13" applyNumberFormat="1" applyFont="1" applyFill="1" applyBorder="1" applyAlignment="1" applyProtection="1">
      <alignment horizontal="center"/>
      <protection hidden="1"/>
    </xf>
    <xf numFmtId="0" fontId="3" fillId="0" borderId="0" xfId="13" applyNumberFormat="1" applyFont="1" applyFill="1" applyBorder="1" applyAlignment="1" applyProtection="1">
      <alignment horizontal="center"/>
      <protection hidden="1"/>
    </xf>
    <xf numFmtId="0" fontId="41" fillId="0" borderId="0" xfId="13" applyFont="1" applyAlignment="1" applyProtection="1">
      <alignment horizontal="center"/>
      <protection hidden="1"/>
    </xf>
    <xf numFmtId="0" fontId="5" fillId="0" borderId="0" xfId="13" applyFont="1" applyFill="1" applyBorder="1" applyAlignment="1" applyProtection="1">
      <alignment horizontal="right" vertical="center" wrapText="1" indent="1"/>
    </xf>
    <xf numFmtId="208" fontId="3" fillId="0" borderId="0" xfId="17" applyNumberFormat="1" applyFont="1" applyFill="1" applyBorder="1" applyAlignment="1" applyProtection="1">
      <alignment vertical="center"/>
    </xf>
    <xf numFmtId="0" fontId="5" fillId="0" borderId="0" xfId="13" applyFont="1" applyFill="1" applyBorder="1" applyAlignment="1" applyProtection="1">
      <alignment vertical="center" wrapText="1"/>
      <protection hidden="1"/>
    </xf>
    <xf numFmtId="0" fontId="41" fillId="0" borderId="0" xfId="13" applyFont="1" applyFill="1" applyBorder="1" applyAlignment="1" applyProtection="1">
      <alignment horizontal="right" vertical="center" indent="1"/>
      <protection hidden="1"/>
    </xf>
    <xf numFmtId="193" fontId="5" fillId="0" borderId="0" xfId="5" applyFont="1" applyFill="1" applyBorder="1" applyProtection="1">
      <protection hidden="1"/>
    </xf>
    <xf numFmtId="0" fontId="41" fillId="0" borderId="0" xfId="13" applyFont="1" applyBorder="1" applyAlignment="1" applyProtection="1">
      <alignment horizontal="right" vertical="center" indent="1"/>
      <protection hidden="1"/>
    </xf>
    <xf numFmtId="185" fontId="3" fillId="3" borderId="0" xfId="13" applyNumberFormat="1" applyFont="1" applyFill="1" applyBorder="1" applyAlignment="1" applyProtection="1">
      <alignment horizontal="right" vertical="center" indent="1"/>
    </xf>
    <xf numFmtId="9" fontId="3" fillId="0" borderId="0" xfId="10" applyFont="1" applyFill="1" applyBorder="1" applyAlignment="1" applyProtection="1">
      <alignment horizontal="right" vertical="center" indent="1"/>
    </xf>
    <xf numFmtId="9" fontId="3" fillId="3" borderId="0" xfId="10" applyFont="1" applyFill="1" applyBorder="1" applyAlignment="1" applyProtection="1">
      <alignment horizontal="right" vertical="center" indent="1"/>
    </xf>
    <xf numFmtId="0" fontId="5" fillId="0" borderId="0" xfId="13" applyFont="1" applyBorder="1" applyAlignment="1" applyProtection="1">
      <alignment horizontal="right" vertical="center" indent="1"/>
      <protection hidden="1"/>
    </xf>
    <xf numFmtId="186" fontId="3" fillId="3" borderId="0" xfId="13" applyNumberFormat="1" applyFont="1" applyFill="1" applyBorder="1" applyAlignment="1" applyProtection="1">
      <alignment horizontal="right" vertical="center" indent="1"/>
      <protection hidden="1"/>
    </xf>
    <xf numFmtId="9" fontId="3" fillId="0" borderId="0" xfId="10" applyNumberFormat="1" applyFont="1" applyFill="1" applyBorder="1" applyAlignment="1" applyProtection="1">
      <alignment horizontal="right" vertical="center" indent="1"/>
    </xf>
    <xf numFmtId="180" fontId="3" fillId="3" borderId="0" xfId="13" applyNumberFormat="1" applyFont="1" applyFill="1" applyBorder="1" applyAlignment="1" applyProtection="1">
      <alignment horizontal="right" vertical="center" indent="1"/>
      <protection hidden="1"/>
    </xf>
    <xf numFmtId="205" fontId="3" fillId="0" borderId="0" xfId="13" applyNumberFormat="1" applyFont="1" applyFill="1" applyBorder="1" applyAlignment="1" applyProtection="1">
      <alignment horizontal="center" wrapText="1"/>
    </xf>
    <xf numFmtId="180" fontId="3" fillId="0" borderId="0" xfId="13" applyNumberFormat="1" applyFont="1" applyFill="1" applyAlignment="1" applyProtection="1">
      <alignment horizontal="right" indent="1"/>
      <protection hidden="1"/>
    </xf>
    <xf numFmtId="174" fontId="3" fillId="0" borderId="0" xfId="13" applyNumberFormat="1" applyFont="1" applyFill="1" applyBorder="1" applyAlignment="1" applyProtection="1">
      <alignment horizontal="right" vertical="center" indent="1"/>
      <protection hidden="1"/>
    </xf>
    <xf numFmtId="185" fontId="3" fillId="3" borderId="0" xfId="13" applyNumberFormat="1" applyFont="1" applyFill="1" applyBorder="1" applyAlignment="1" applyProtection="1">
      <alignment horizontal="right" vertical="center" indent="1"/>
      <protection locked="0"/>
    </xf>
    <xf numFmtId="180" fontId="3" fillId="3" borderId="0" xfId="13" applyNumberFormat="1" applyFont="1" applyFill="1" applyAlignment="1" applyProtection="1">
      <alignment horizontal="right" vertical="center" indent="1"/>
      <protection hidden="1"/>
    </xf>
    <xf numFmtId="174" fontId="3" fillId="3" borderId="0" xfId="13" applyNumberFormat="1" applyFont="1" applyFill="1" applyBorder="1" applyAlignment="1" applyProtection="1">
      <alignment horizontal="right" vertical="center" indent="1"/>
      <protection hidden="1"/>
    </xf>
    <xf numFmtId="0" fontId="43" fillId="0" borderId="0" xfId="13" applyFont="1" applyFill="1" applyProtection="1">
      <protection hidden="1"/>
    </xf>
    <xf numFmtId="210" fontId="4" fillId="0" borderId="0" xfId="13" applyNumberFormat="1" applyFont="1" applyFill="1" applyBorder="1" applyAlignment="1" applyProtection="1">
      <alignment horizontal="center"/>
      <protection hidden="1"/>
    </xf>
    <xf numFmtId="0" fontId="4" fillId="0" borderId="0" xfId="13" applyFont="1" applyFill="1" applyBorder="1" applyAlignment="1" applyProtection="1">
      <alignment horizontal="left"/>
      <protection hidden="1"/>
    </xf>
    <xf numFmtId="0" fontId="43" fillId="0" borderId="0" xfId="13" applyFont="1" applyProtection="1">
      <protection hidden="1"/>
    </xf>
    <xf numFmtId="177" fontId="3" fillId="12" borderId="0" xfId="13" applyNumberFormat="1" applyFont="1" applyFill="1" applyBorder="1" applyAlignment="1" applyProtection="1">
      <alignment horizontal="right" vertical="center" indent="1"/>
      <protection hidden="1"/>
    </xf>
    <xf numFmtId="0" fontId="5" fillId="0" borderId="0" xfId="13" applyFont="1" applyFill="1" applyBorder="1" applyAlignment="1" applyProtection="1">
      <alignment horizontal="right" vertical="center" indent="3"/>
      <protection hidden="1"/>
    </xf>
    <xf numFmtId="212" fontId="3" fillId="13" borderId="0" xfId="13" applyNumberFormat="1" applyFont="1" applyFill="1" applyBorder="1" applyAlignment="1" applyProtection="1">
      <alignment horizontal="right" vertical="center" indent="1" shrinkToFit="1"/>
      <protection locked="0" hidden="1"/>
    </xf>
    <xf numFmtId="180" fontId="3" fillId="0" borderId="0" xfId="13" applyNumberFormat="1" applyFont="1" applyFill="1" applyBorder="1" applyAlignment="1" applyProtection="1">
      <alignment horizontal="center" vertical="center"/>
    </xf>
    <xf numFmtId="177" fontId="3" fillId="13" borderId="0" xfId="13" applyNumberFormat="1" applyFont="1" applyFill="1" applyBorder="1" applyAlignment="1" applyProtection="1">
      <alignment horizontal="right" vertical="center" indent="1"/>
      <protection locked="0"/>
    </xf>
    <xf numFmtId="171" fontId="3" fillId="13" borderId="0" xfId="13" applyNumberFormat="1" applyFont="1" applyFill="1" applyBorder="1" applyAlignment="1" applyProtection="1">
      <alignment horizontal="right" vertical="center" indent="1"/>
      <protection locked="0" hidden="1"/>
    </xf>
    <xf numFmtId="0" fontId="5" fillId="0" borderId="7" xfId="13" applyFont="1" applyFill="1" applyBorder="1" applyAlignment="1" applyProtection="1">
      <alignment horizontal="center" vertical="center"/>
      <protection hidden="1"/>
    </xf>
    <xf numFmtId="185" fontId="3" fillId="13" borderId="0" xfId="13" applyNumberFormat="1" applyFont="1" applyFill="1" applyBorder="1" applyAlignment="1" applyProtection="1">
      <alignment horizontal="right" vertical="center" indent="1"/>
      <protection locked="0"/>
    </xf>
    <xf numFmtId="177" fontId="12" fillId="0" borderId="0" xfId="13" applyNumberFormat="1" applyFont="1" applyFill="1" applyBorder="1" applyAlignment="1" applyProtection="1">
      <alignment horizontal="right" vertical="center" indent="1"/>
      <protection hidden="1"/>
    </xf>
    <xf numFmtId="181" fontId="3" fillId="0" borderId="0" xfId="13" applyNumberFormat="1" applyFont="1" applyFill="1" applyBorder="1" applyAlignment="1" applyProtection="1">
      <alignment horizontal="right" vertical="center" indent="1"/>
      <protection hidden="1"/>
    </xf>
    <xf numFmtId="180" fontId="3" fillId="0" borderId="0" xfId="13" applyNumberFormat="1" applyFont="1" applyFill="1" applyBorder="1" applyAlignment="1" applyProtection="1">
      <alignment horizontal="right" vertical="center" indent="1"/>
    </xf>
    <xf numFmtId="213" fontId="44" fillId="13" borderId="0" xfId="15" applyNumberFormat="1" applyFont="1" applyFill="1" applyBorder="1" applyAlignment="1" applyProtection="1">
      <alignment horizontal="right" vertical="center" indent="1"/>
      <protection locked="0"/>
    </xf>
    <xf numFmtId="180" fontId="3" fillId="13" borderId="0" xfId="13" applyNumberFormat="1" applyFont="1" applyFill="1" applyBorder="1" applyAlignment="1" applyProtection="1">
      <alignment horizontal="right" vertical="center" indent="1"/>
      <protection locked="0"/>
    </xf>
    <xf numFmtId="9" fontId="3" fillId="0" borderId="0" xfId="13" applyNumberFormat="1" applyFont="1" applyFill="1" applyBorder="1" applyAlignment="1" applyProtection="1">
      <alignment horizontal="right" vertical="center" indent="1"/>
    </xf>
    <xf numFmtId="9" fontId="3" fillId="13" borderId="0" xfId="13" applyNumberFormat="1" applyFont="1" applyFill="1" applyBorder="1" applyAlignment="1" applyProtection="1">
      <alignment horizontal="right" vertical="center" indent="1"/>
      <protection locked="0"/>
    </xf>
    <xf numFmtId="213" fontId="3" fillId="3" borderId="0" xfId="13" applyNumberFormat="1" applyFont="1" applyFill="1" applyBorder="1" applyAlignment="1" applyProtection="1">
      <alignment horizontal="right" vertical="center" indent="1"/>
      <protection hidden="1"/>
    </xf>
    <xf numFmtId="10" fontId="3" fillId="0" borderId="0" xfId="5" applyNumberFormat="1" applyFont="1" applyFill="1" applyBorder="1" applyAlignment="1" applyProtection="1">
      <alignment horizontal="right" vertical="center" indent="1"/>
    </xf>
    <xf numFmtId="0" fontId="3" fillId="0" borderId="0" xfId="13" applyFont="1" applyFill="1" applyAlignment="1" applyProtection="1">
      <alignment horizontal="center" vertical="center"/>
      <protection hidden="1"/>
    </xf>
    <xf numFmtId="10" fontId="3" fillId="13" borderId="0" xfId="5" applyNumberFormat="1" applyFont="1" applyFill="1" applyBorder="1" applyAlignment="1" applyProtection="1">
      <alignment horizontal="right" vertical="center" indent="1"/>
      <protection locked="0"/>
    </xf>
    <xf numFmtId="180" fontId="4" fillId="0" borderId="0" xfId="13" applyNumberFormat="1" applyFont="1" applyFill="1" applyBorder="1" applyProtection="1">
      <protection hidden="1"/>
    </xf>
    <xf numFmtId="171" fontId="3" fillId="0" borderId="0" xfId="13" applyNumberFormat="1" applyFont="1" applyFill="1" applyBorder="1" applyAlignment="1" applyProtection="1">
      <alignment horizontal="right" vertical="center" indent="1"/>
      <protection hidden="1"/>
    </xf>
    <xf numFmtId="215" fontId="3" fillId="0" borderId="0" xfId="13" applyNumberFormat="1" applyFont="1" applyFill="1" applyBorder="1" applyAlignment="1" applyProtection="1">
      <alignment horizontal="right" vertical="center" indent="1"/>
    </xf>
    <xf numFmtId="177" fontId="3" fillId="3" borderId="0" xfId="13" applyNumberFormat="1" applyFont="1" applyFill="1" applyBorder="1" applyAlignment="1" applyProtection="1">
      <alignment horizontal="right" vertical="center" indent="1"/>
    </xf>
    <xf numFmtId="215" fontId="3" fillId="13" borderId="0" xfId="13" applyNumberFormat="1" applyFont="1" applyFill="1" applyBorder="1" applyAlignment="1" applyProtection="1">
      <alignment horizontal="right" vertical="center" indent="1"/>
      <protection locked="0"/>
    </xf>
    <xf numFmtId="0" fontId="5" fillId="0" borderId="0" xfId="13" applyFont="1" applyFill="1" applyBorder="1" applyAlignment="1" applyProtection="1">
      <alignment horizontal="left" vertical="center" indent="1"/>
      <protection hidden="1"/>
    </xf>
    <xf numFmtId="0" fontId="3" fillId="0" borderId="0" xfId="13" applyFont="1" applyFill="1" applyBorder="1" applyAlignment="1" applyProtection="1">
      <alignment horizontal="center" vertical="center"/>
    </xf>
    <xf numFmtId="0" fontId="3" fillId="13" borderId="0" xfId="13" applyFont="1" applyFill="1" applyBorder="1" applyAlignment="1" applyProtection="1">
      <alignment horizontal="right" vertical="center" indent="1" shrinkToFit="1"/>
      <protection locked="0" hidden="1"/>
    </xf>
    <xf numFmtId="187" fontId="8" fillId="0" borderId="0" xfId="13" applyNumberFormat="1" applyFont="1" applyFill="1" applyBorder="1" applyProtection="1">
      <protection hidden="1"/>
    </xf>
    <xf numFmtId="171" fontId="3" fillId="13" borderId="0" xfId="13" applyNumberFormat="1" applyFont="1" applyFill="1" applyBorder="1" applyAlignment="1" applyProtection="1">
      <alignment horizontal="right" vertical="center" indent="1"/>
      <protection locked="0"/>
    </xf>
    <xf numFmtId="205" fontId="15" fillId="0" borderId="0" xfId="13" applyNumberFormat="1" applyFont="1" applyFill="1" applyBorder="1" applyAlignment="1" applyProtection="1">
      <alignment horizontal="center" wrapText="1"/>
    </xf>
    <xf numFmtId="205" fontId="3" fillId="13" borderId="0" xfId="13" applyNumberFormat="1" applyFont="1" applyFill="1" applyBorder="1" applyAlignment="1" applyProtection="1">
      <alignment horizontal="center" vertical="center" wrapText="1"/>
      <protection locked="0"/>
    </xf>
    <xf numFmtId="0" fontId="17" fillId="0" borderId="0" xfId="13" applyFont="1" applyAlignment="1" applyProtection="1">
      <alignment vertical="center"/>
      <protection hidden="1"/>
    </xf>
    <xf numFmtId="205" fontId="3" fillId="0" borderId="0" xfId="13" applyNumberFormat="1" applyFont="1" applyFill="1" applyBorder="1" applyAlignment="1" applyProtection="1">
      <alignment horizontal="center"/>
    </xf>
    <xf numFmtId="174" fontId="4" fillId="0" borderId="0" xfId="13" applyNumberFormat="1" applyFont="1" applyFill="1" applyBorder="1" applyProtection="1">
      <protection hidden="1"/>
    </xf>
    <xf numFmtId="205" fontId="3" fillId="0" borderId="0" xfId="13" applyNumberFormat="1" applyFont="1" applyFill="1" applyBorder="1" applyAlignment="1" applyProtection="1">
      <alignment horizontal="center" vertical="center"/>
    </xf>
    <xf numFmtId="49" fontId="4" fillId="0" borderId="0" xfId="13" applyNumberFormat="1" applyFont="1" applyFill="1" applyBorder="1" applyAlignment="1" applyProtection="1">
      <alignment horizontal="right"/>
      <protection hidden="1"/>
    </xf>
    <xf numFmtId="3" fontId="3" fillId="0" borderId="0" xfId="13" applyNumberFormat="1" applyFont="1" applyFill="1" applyBorder="1" applyAlignment="1" applyProtection="1">
      <alignment horizontal="center"/>
    </xf>
    <xf numFmtId="3" fontId="3" fillId="0" borderId="0" xfId="13" applyNumberFormat="1" applyFont="1" applyBorder="1" applyAlignment="1" applyProtection="1">
      <alignment horizontal="center"/>
    </xf>
    <xf numFmtId="0" fontId="3" fillId="0" borderId="0" xfId="13" applyFont="1" applyFill="1" applyBorder="1" applyAlignment="1" applyProtection="1">
      <alignment vertical="center"/>
    </xf>
    <xf numFmtId="217" fontId="4" fillId="0" borderId="0" xfId="10" applyNumberFormat="1" applyFont="1" applyFill="1" applyBorder="1" applyProtection="1">
      <protection hidden="1"/>
    </xf>
    <xf numFmtId="10" fontId="4" fillId="0" borderId="0" xfId="10" applyNumberFormat="1" applyFont="1" applyFill="1" applyBorder="1" applyAlignment="1" applyProtection="1">
      <alignment horizontal="right"/>
      <protection hidden="1"/>
    </xf>
    <xf numFmtId="0" fontId="15" fillId="0" borderId="0" xfId="13" applyFont="1" applyFill="1" applyBorder="1" applyProtection="1"/>
    <xf numFmtId="0" fontId="12" fillId="0" borderId="0" xfId="13" applyFont="1" applyBorder="1" applyProtection="1"/>
    <xf numFmtId="0" fontId="3" fillId="0" borderId="0" xfId="13" applyFont="1" applyBorder="1" applyProtection="1"/>
    <xf numFmtId="0" fontId="12" fillId="0" borderId="0" xfId="13" applyFont="1" applyFill="1" applyBorder="1" applyProtection="1"/>
    <xf numFmtId="211" fontId="3" fillId="5" borderId="6" xfId="13" applyNumberFormat="1" applyFont="1" applyFill="1" applyBorder="1" applyAlignment="1" applyProtection="1">
      <alignment horizontal="center" vertical="center"/>
      <protection hidden="1"/>
    </xf>
    <xf numFmtId="211" fontId="3" fillId="0" borderId="0" xfId="13" applyNumberFormat="1" applyFont="1" applyFill="1" applyBorder="1" applyAlignment="1" applyProtection="1">
      <alignment horizontal="center" vertical="center"/>
      <protection hidden="1"/>
    </xf>
    <xf numFmtId="0" fontId="3" fillId="0" borderId="0" xfId="13" applyFont="1" applyFill="1" applyAlignment="1" applyProtection="1">
      <alignment horizontal="right" vertical="center" indent="1"/>
      <protection hidden="1"/>
    </xf>
    <xf numFmtId="0" fontId="3" fillId="11" borderId="0" xfId="13" applyFont="1" applyFill="1" applyAlignment="1" applyProtection="1">
      <alignment horizontal="right" vertical="center" indent="1"/>
      <protection hidden="1"/>
    </xf>
    <xf numFmtId="0" fontId="3" fillId="13" borderId="0" xfId="13" applyNumberFormat="1" applyFont="1" applyFill="1" applyBorder="1" applyAlignment="1" applyProtection="1">
      <alignment horizontal="right" vertical="center" indent="1"/>
      <protection locked="0" hidden="1"/>
    </xf>
    <xf numFmtId="214" fontId="44" fillId="13" borderId="0" xfId="15" applyNumberFormat="1" applyFont="1" applyFill="1" applyBorder="1" applyAlignment="1" applyProtection="1">
      <alignment horizontal="center" vertical="center"/>
      <protection locked="0"/>
    </xf>
    <xf numFmtId="1" fontId="44" fillId="13" borderId="0" xfId="15" applyNumberFormat="1" applyFont="1" applyFill="1" applyBorder="1" applyAlignment="1" applyProtection="1">
      <alignment horizontal="center" vertical="center"/>
      <protection locked="0"/>
    </xf>
    <xf numFmtId="0" fontId="3" fillId="14" borderId="0" xfId="13" applyFont="1" applyFill="1" applyAlignment="1" applyProtection="1">
      <alignment vertical="center"/>
      <protection hidden="1"/>
    </xf>
    <xf numFmtId="219" fontId="3" fillId="13" borderId="0" xfId="13" applyNumberFormat="1" applyFont="1" applyFill="1" applyBorder="1" applyAlignment="1" applyProtection="1">
      <alignment horizontal="right" vertical="center" indent="1" shrinkToFit="1"/>
      <protection locked="0" hidden="1"/>
    </xf>
    <xf numFmtId="0" fontId="3" fillId="13" borderId="0" xfId="13" applyNumberFormat="1" applyFont="1" applyFill="1" applyBorder="1" applyAlignment="1" applyProtection="1">
      <alignment horizontal="right" vertical="center" indent="1" shrinkToFit="1"/>
      <protection locked="0" hidden="1"/>
    </xf>
    <xf numFmtId="1" fontId="4" fillId="0" borderId="0" xfId="13" applyNumberFormat="1" applyFont="1" applyFill="1" applyBorder="1" applyAlignment="1" applyProtection="1">
      <protection hidden="1"/>
    </xf>
    <xf numFmtId="191" fontId="4" fillId="0" borderId="0" xfId="0" applyNumberFormat="1" applyFont="1" applyFill="1" applyBorder="1" applyProtection="1">
      <protection hidden="1"/>
    </xf>
    <xf numFmtId="187" fontId="4" fillId="0" borderId="0" xfId="0" applyNumberFormat="1" applyFont="1" applyFill="1" applyBorder="1" applyProtection="1">
      <protection hidden="1"/>
    </xf>
    <xf numFmtId="0" fontId="5" fillId="0" borderId="0" xfId="0" applyFont="1" applyFill="1" applyBorder="1" applyProtection="1">
      <protection hidden="1"/>
    </xf>
    <xf numFmtId="187" fontId="8" fillId="0" borderId="0" xfId="0" applyNumberFormat="1" applyFont="1" applyFill="1" applyBorder="1" applyProtection="1">
      <protection hidden="1"/>
    </xf>
    <xf numFmtId="172" fontId="4" fillId="0" borderId="0" xfId="4" applyNumberFormat="1" applyFont="1" applyFill="1" applyBorder="1" applyProtection="1">
      <protection hidden="1"/>
    </xf>
    <xf numFmtId="2" fontId="4" fillId="0" borderId="0" xfId="0" applyNumberFormat="1" applyFont="1" applyFill="1" applyBorder="1" applyProtection="1">
      <protection hidden="1"/>
    </xf>
    <xf numFmtId="43" fontId="4" fillId="0" borderId="0" xfId="4" applyFont="1" applyFill="1" applyBorder="1" applyProtection="1">
      <protection hidden="1"/>
    </xf>
    <xf numFmtId="220" fontId="4" fillId="0" borderId="0" xfId="4" applyNumberFormat="1" applyFont="1" applyFill="1" applyBorder="1" applyProtection="1">
      <protection hidden="1"/>
    </xf>
    <xf numFmtId="172" fontId="3" fillId="13" borderId="0" xfId="4" applyNumberFormat="1" applyFont="1" applyFill="1" applyBorder="1" applyAlignment="1" applyProtection="1">
      <alignment horizontal="right" vertical="center" indent="1"/>
      <protection locked="0"/>
    </xf>
    <xf numFmtId="172" fontId="5" fillId="0" borderId="0" xfId="4" applyNumberFormat="1" applyFont="1" applyFill="1" applyBorder="1" applyProtection="1">
      <protection hidden="1"/>
    </xf>
    <xf numFmtId="0" fontId="3" fillId="11" borderId="0" xfId="13" applyFont="1" applyFill="1" applyBorder="1" applyProtection="1">
      <protection hidden="1"/>
    </xf>
    <xf numFmtId="216" fontId="3" fillId="11" borderId="0" xfId="5" applyNumberFormat="1" applyFont="1" applyFill="1" applyBorder="1" applyAlignment="1" applyProtection="1">
      <alignment horizontal="center" wrapText="1"/>
    </xf>
    <xf numFmtId="205" fontId="3" fillId="11" borderId="0" xfId="13" applyNumberFormat="1" applyFont="1" applyFill="1" applyBorder="1" applyAlignment="1" applyProtection="1">
      <alignment horizontal="center" wrapText="1"/>
    </xf>
    <xf numFmtId="0" fontId="3" fillId="11" borderId="0" xfId="13" applyFont="1" applyFill="1" applyBorder="1" applyAlignment="1" applyProtection="1">
      <alignment horizontal="center" vertical="center"/>
    </xf>
    <xf numFmtId="0" fontId="4" fillId="11" borderId="0" xfId="13" applyFont="1" applyFill="1" applyBorder="1" applyAlignment="1" applyProtection="1">
      <alignment horizontal="right" vertical="center" indent="1"/>
      <protection hidden="1"/>
    </xf>
    <xf numFmtId="0" fontId="4" fillId="11" borderId="0" xfId="13" applyFont="1" applyFill="1" applyProtection="1">
      <protection hidden="1"/>
    </xf>
    <xf numFmtId="191" fontId="4" fillId="11" borderId="0" xfId="10" applyNumberFormat="1" applyFont="1" applyFill="1" applyBorder="1" applyAlignment="1" applyProtection="1">
      <alignment horizontal="right" vertical="center" indent="1"/>
      <protection hidden="1"/>
    </xf>
    <xf numFmtId="0" fontId="5" fillId="11" borderId="0" xfId="13" applyFont="1" applyFill="1" applyBorder="1" applyAlignment="1" applyProtection="1">
      <alignment horizontal="right" vertical="center" indent="1"/>
    </xf>
    <xf numFmtId="0" fontId="5" fillId="11" borderId="0" xfId="13" applyFont="1" applyFill="1" applyProtection="1">
      <protection hidden="1"/>
    </xf>
    <xf numFmtId="0" fontId="5" fillId="11" borderId="0" xfId="13" applyFont="1" applyFill="1" applyBorder="1" applyProtection="1">
      <protection hidden="1"/>
    </xf>
    <xf numFmtId="0" fontId="5" fillId="0" borderId="0" xfId="9" applyNumberFormat="1" applyFont="1" applyFill="1" applyBorder="1" applyProtection="1">
      <protection hidden="1"/>
    </xf>
    <xf numFmtId="0" fontId="4" fillId="0" borderId="0" xfId="13" applyFont="1" applyFill="1" applyBorder="1" applyProtection="1">
      <protection hidden="1"/>
    </xf>
    <xf numFmtId="177" fontId="13" fillId="0" borderId="8" xfId="5" applyNumberFormat="1" applyFont="1" applyBorder="1" applyAlignment="1" applyProtection="1">
      <alignment horizontal="right" vertical="center" indent="1"/>
      <protection hidden="1"/>
    </xf>
    <xf numFmtId="177" fontId="13" fillId="0" borderId="2" xfId="5" applyNumberFormat="1" applyFont="1" applyFill="1" applyBorder="1" applyAlignment="1" applyProtection="1">
      <alignment horizontal="right" vertical="center" indent="1"/>
      <protection hidden="1"/>
    </xf>
    <xf numFmtId="181" fontId="4" fillId="0" borderId="0" xfId="13" applyNumberFormat="1" applyFont="1" applyFill="1" applyBorder="1" applyProtection="1">
      <protection hidden="1"/>
    </xf>
    <xf numFmtId="183" fontId="5" fillId="0" borderId="0" xfId="13" applyNumberFormat="1" applyFont="1" applyFill="1" applyBorder="1" applyProtection="1">
      <protection hidden="1"/>
    </xf>
    <xf numFmtId="0" fontId="5" fillId="0" borderId="9" xfId="13" applyFont="1" applyFill="1" applyBorder="1" applyProtection="1">
      <protection hidden="1"/>
    </xf>
    <xf numFmtId="0" fontId="4" fillId="0" borderId="10" xfId="13" applyFont="1" applyFill="1" applyBorder="1" applyProtection="1">
      <protection hidden="1"/>
    </xf>
    <xf numFmtId="177" fontId="5" fillId="0" borderId="0" xfId="13" applyNumberFormat="1" applyFont="1" applyFill="1" applyBorder="1" applyProtection="1">
      <protection hidden="1"/>
    </xf>
    <xf numFmtId="9" fontId="5" fillId="0" borderId="11" xfId="10" applyFont="1" applyFill="1" applyBorder="1" applyAlignment="1" applyProtection="1">
      <alignment wrapText="1"/>
      <protection hidden="1"/>
    </xf>
    <xf numFmtId="9" fontId="5" fillId="0" borderId="0" xfId="10" applyFont="1" applyFill="1" applyBorder="1" applyProtection="1">
      <protection hidden="1"/>
    </xf>
    <xf numFmtId="0" fontId="5" fillId="0" borderId="12" xfId="13" applyFont="1" applyFill="1" applyBorder="1" applyAlignment="1" applyProtection="1">
      <alignment horizontal="center"/>
      <protection hidden="1"/>
    </xf>
    <xf numFmtId="179" fontId="5" fillId="0" borderId="0" xfId="17" applyNumberFormat="1" applyFont="1" applyFill="1" applyBorder="1" applyProtection="1">
      <protection hidden="1"/>
    </xf>
    <xf numFmtId="1" fontId="5" fillId="0" borderId="0" xfId="13" applyNumberFormat="1" applyFont="1" applyFill="1" applyBorder="1" applyProtection="1">
      <protection hidden="1"/>
    </xf>
    <xf numFmtId="175" fontId="5" fillId="0" borderId="0" xfId="3" applyFont="1" applyFill="1" applyBorder="1" applyProtection="1">
      <protection hidden="1"/>
    </xf>
    <xf numFmtId="176" fontId="13" fillId="0" borderId="2" xfId="13" applyNumberFormat="1" applyFont="1" applyBorder="1" applyAlignment="1" applyProtection="1">
      <alignment horizontal="right" vertical="center" indent="1"/>
      <protection hidden="1"/>
    </xf>
    <xf numFmtId="176" fontId="13" fillId="0" borderId="1" xfId="13" applyNumberFormat="1" applyFont="1" applyBorder="1" applyAlignment="1" applyProtection="1">
      <alignment horizontal="right" vertical="center" indent="1"/>
      <protection hidden="1"/>
    </xf>
    <xf numFmtId="0" fontId="3" fillId="0" borderId="0" xfId="4" applyNumberFormat="1" applyFont="1" applyFill="1" applyBorder="1" applyProtection="1">
      <protection hidden="1"/>
    </xf>
    <xf numFmtId="0" fontId="3" fillId="11" borderId="0" xfId="13" applyFont="1" applyFill="1" applyBorder="1" applyAlignment="1" applyProtection="1">
      <alignment horizontal="right"/>
    </xf>
    <xf numFmtId="0" fontId="3" fillId="11" borderId="0" xfId="13" applyFont="1" applyFill="1" applyAlignment="1" applyProtection="1">
      <alignment horizontal="right"/>
      <protection hidden="1"/>
    </xf>
    <xf numFmtId="0" fontId="5" fillId="11" borderId="0" xfId="13" applyFont="1" applyFill="1" applyBorder="1" applyAlignment="1" applyProtection="1">
      <alignment horizontal="right"/>
    </xf>
    <xf numFmtId="178" fontId="3" fillId="0" borderId="0" xfId="0" applyNumberFormat="1" applyFont="1" applyFill="1" applyBorder="1" applyProtection="1">
      <protection hidden="1"/>
    </xf>
    <xf numFmtId="0" fontId="3" fillId="0" borderId="0" xfId="0" applyFont="1" applyFill="1" applyBorder="1" applyAlignment="1" applyProtection="1">
      <alignment horizontal="right" vertical="center"/>
    </xf>
    <xf numFmtId="177" fontId="3" fillId="0" borderId="0" xfId="0" applyNumberFormat="1" applyFont="1" applyFill="1" applyBorder="1" applyAlignment="1" applyProtection="1"/>
    <xf numFmtId="178" fontId="3" fillId="0" borderId="0" xfId="0" applyNumberFormat="1" applyFont="1" applyFill="1" applyBorder="1" applyAlignment="1" applyProtection="1"/>
    <xf numFmtId="0" fontId="4" fillId="0" borderId="0" xfId="13"/>
    <xf numFmtId="0" fontId="5" fillId="0" borderId="0" xfId="13" applyFont="1" applyProtection="1">
      <protection hidden="1"/>
    </xf>
    <xf numFmtId="0" fontId="5" fillId="0" borderId="0" xfId="13" applyFont="1" applyFill="1" applyBorder="1" applyProtection="1">
      <protection hidden="1"/>
    </xf>
    <xf numFmtId="0" fontId="5" fillId="0" borderId="0" xfId="13" applyFont="1" applyFill="1" applyBorder="1" applyAlignment="1" applyProtection="1">
      <alignment horizontal="center"/>
      <protection hidden="1"/>
    </xf>
    <xf numFmtId="0" fontId="4" fillId="0" borderId="0" xfId="13" applyFont="1" applyFill="1" applyBorder="1" applyProtection="1"/>
    <xf numFmtId="187" fontId="4" fillId="0" borderId="0" xfId="13" applyNumberFormat="1" applyFont="1" applyFill="1" applyBorder="1" applyProtection="1">
      <protection hidden="1"/>
    </xf>
    <xf numFmtId="0" fontId="5" fillId="0" borderId="0" xfId="13" applyFont="1" applyFill="1" applyBorder="1" applyAlignment="1" applyProtection="1">
      <alignment horizontal="right"/>
      <protection hidden="1"/>
    </xf>
    <xf numFmtId="179" fontId="5" fillId="0" borderId="0" xfId="17" applyNumberFormat="1" applyFont="1" applyProtection="1">
      <protection hidden="1"/>
    </xf>
    <xf numFmtId="179" fontId="5" fillId="0" borderId="0" xfId="13" applyNumberFormat="1" applyFont="1" applyFill="1" applyBorder="1" applyProtection="1">
      <protection hidden="1"/>
    </xf>
    <xf numFmtId="190" fontId="8" fillId="0" borderId="0" xfId="13" applyNumberFormat="1" applyFont="1" applyFill="1" applyBorder="1" applyProtection="1">
      <protection hidden="1"/>
    </xf>
    <xf numFmtId="179" fontId="5" fillId="0" borderId="12" xfId="13" applyNumberFormat="1" applyFont="1" applyFill="1" applyBorder="1" applyProtection="1">
      <protection hidden="1"/>
    </xf>
    <xf numFmtId="180" fontId="5" fillId="0" borderId="0" xfId="13" applyNumberFormat="1" applyFont="1" applyFill="1" applyBorder="1" applyProtection="1">
      <protection hidden="1"/>
    </xf>
    <xf numFmtId="179" fontId="5" fillId="0" borderId="13" xfId="13" applyNumberFormat="1" applyFont="1" applyFill="1" applyBorder="1" applyProtection="1">
      <protection hidden="1"/>
    </xf>
    <xf numFmtId="179" fontId="5" fillId="0" borderId="10" xfId="17" applyNumberFormat="1" applyFont="1" applyFill="1" applyBorder="1" applyProtection="1">
      <protection hidden="1"/>
    </xf>
    <xf numFmtId="171" fontId="5" fillId="0" borderId="0" xfId="9" applyNumberFormat="1" applyFont="1" applyFill="1" applyBorder="1" applyProtection="1">
      <protection hidden="1"/>
    </xf>
    <xf numFmtId="44" fontId="5" fillId="0" borderId="0" xfId="13" applyNumberFormat="1" applyFont="1" applyFill="1" applyBorder="1" applyProtection="1">
      <protection hidden="1"/>
    </xf>
    <xf numFmtId="0" fontId="3" fillId="0" borderId="0" xfId="13" applyFont="1" applyBorder="1" applyAlignment="1" applyProtection="1">
      <alignment vertical="center" wrapText="1"/>
      <protection hidden="1"/>
    </xf>
    <xf numFmtId="0" fontId="15" fillId="0" borderId="0" xfId="13" applyFont="1" applyBorder="1" applyProtection="1">
      <protection hidden="1"/>
    </xf>
    <xf numFmtId="205" fontId="3" fillId="0" borderId="14" xfId="13" applyNumberFormat="1" applyFont="1" applyFill="1" applyBorder="1" applyAlignment="1" applyProtection="1">
      <alignment horizontal="center" wrapText="1"/>
    </xf>
    <xf numFmtId="0" fontId="3" fillId="0" borderId="4" xfId="13" applyFont="1" applyFill="1" applyBorder="1" applyProtection="1">
      <protection hidden="1"/>
    </xf>
    <xf numFmtId="9" fontId="3" fillId="0" borderId="0" xfId="10" applyFont="1" applyFill="1" applyProtection="1">
      <protection hidden="1"/>
    </xf>
    <xf numFmtId="171" fontId="3" fillId="3" borderId="0" xfId="10" applyNumberFormat="1" applyFont="1" applyFill="1" applyBorder="1" applyAlignment="1" applyProtection="1">
      <alignment horizontal="right" vertical="center" indent="1"/>
      <protection hidden="1"/>
    </xf>
    <xf numFmtId="0" fontId="3" fillId="0" borderId="0" xfId="13" applyFont="1" applyFill="1" applyBorder="1" applyAlignment="1" applyProtection="1">
      <alignment vertical="center"/>
      <protection hidden="1"/>
    </xf>
    <xf numFmtId="205" fontId="17" fillId="0" borderId="0" xfId="13" applyNumberFormat="1" applyFont="1" applyFill="1" applyBorder="1" applyAlignment="1" applyProtection="1">
      <alignment horizontal="center" vertical="center" wrapText="1"/>
    </xf>
    <xf numFmtId="185" fontId="17" fillId="0" borderId="0" xfId="13" applyNumberFormat="1" applyFont="1" applyFill="1" applyBorder="1" applyAlignment="1" applyProtection="1">
      <alignment horizontal="center" vertical="center"/>
    </xf>
    <xf numFmtId="0" fontId="17" fillId="0" borderId="0" xfId="13" applyFont="1" applyFill="1" applyAlignment="1" applyProtection="1">
      <alignment horizontal="center" vertical="center"/>
      <protection hidden="1"/>
    </xf>
    <xf numFmtId="164" fontId="17" fillId="14" borderId="0" xfId="13" applyNumberFormat="1" applyFont="1" applyFill="1" applyBorder="1" applyAlignment="1" applyProtection="1">
      <alignment horizontal="center" vertical="center" wrapText="1"/>
    </xf>
    <xf numFmtId="0" fontId="17" fillId="0" borderId="0" xfId="13" applyFont="1" applyAlignment="1" applyProtection="1">
      <alignment horizontal="center" vertical="center"/>
      <protection hidden="1"/>
    </xf>
    <xf numFmtId="205" fontId="17" fillId="0" borderId="0" xfId="13" applyNumberFormat="1" applyFont="1" applyFill="1" applyBorder="1" applyAlignment="1" applyProtection="1">
      <alignment horizontal="center"/>
    </xf>
    <xf numFmtId="167" fontId="17" fillId="14" borderId="0" xfId="9" applyNumberFormat="1" applyFont="1" applyFill="1" applyBorder="1" applyAlignment="1" applyProtection="1">
      <alignment horizontal="center" vertical="center" wrapText="1"/>
    </xf>
    <xf numFmtId="168" fontId="17" fillId="14" borderId="0" xfId="9" applyNumberFormat="1" applyFont="1" applyFill="1" applyBorder="1" applyAlignment="1" applyProtection="1">
      <alignment horizontal="center" vertical="center"/>
    </xf>
    <xf numFmtId="205" fontId="17" fillId="3" borderId="0" xfId="13" applyNumberFormat="1" applyFont="1" applyFill="1" applyBorder="1" applyAlignment="1" applyProtection="1">
      <alignment horizontal="center" vertical="center"/>
    </xf>
    <xf numFmtId="205" fontId="17" fillId="0" borderId="0" xfId="13" applyNumberFormat="1" applyFont="1" applyFill="1" applyBorder="1" applyAlignment="1" applyProtection="1">
      <alignment horizontal="center" vertical="center"/>
    </xf>
    <xf numFmtId="185" fontId="5" fillId="0" borderId="0" xfId="13" applyNumberFormat="1" applyFont="1" applyFill="1" applyBorder="1" applyAlignment="1" applyProtection="1">
      <alignment horizontal="right" vertical="center" indent="1"/>
    </xf>
    <xf numFmtId="208" fontId="5" fillId="0" borderId="0" xfId="17" applyNumberFormat="1" applyFont="1" applyFill="1" applyBorder="1" applyAlignment="1" applyProtection="1">
      <alignment vertical="center"/>
    </xf>
    <xf numFmtId="0" fontId="3" fillId="0" borderId="0" xfId="13" applyFont="1" applyBorder="1" applyAlignment="1" applyProtection="1">
      <alignment horizontal="right" vertical="center" indent="1"/>
    </xf>
    <xf numFmtId="0" fontId="3" fillId="0" borderId="0" xfId="13" applyFont="1" applyBorder="1" applyAlignment="1" applyProtection="1">
      <alignment horizontal="right" vertical="center" wrapText="1" indent="1"/>
    </xf>
    <xf numFmtId="0" fontId="3" fillId="0" borderId="0" xfId="13" applyFont="1" applyFill="1" applyBorder="1" applyAlignment="1" applyProtection="1">
      <alignment horizontal="right" vertical="center" wrapText="1" indent="1"/>
    </xf>
    <xf numFmtId="0" fontId="3" fillId="0" borderId="0" xfId="13" applyFont="1" applyFill="1" applyBorder="1" applyAlignment="1" applyProtection="1">
      <alignment horizontal="right" vertical="center" indent="3"/>
      <protection hidden="1"/>
    </xf>
    <xf numFmtId="0" fontId="3" fillId="0" borderId="0" xfId="13" applyFont="1" applyFill="1" applyBorder="1" applyAlignment="1" applyProtection="1">
      <alignment horizontal="left" vertical="center" indent="1"/>
      <protection hidden="1"/>
    </xf>
    <xf numFmtId="0" fontId="3" fillId="0" borderId="0" xfId="13" applyFont="1" applyFill="1" applyBorder="1" applyAlignment="1" applyProtection="1">
      <alignment horizontal="center" vertical="center"/>
      <protection hidden="1"/>
    </xf>
    <xf numFmtId="0" fontId="3" fillId="0" borderId="0" xfId="7" applyFont="1" applyBorder="1" applyAlignment="1" applyProtection="1">
      <alignment horizontal="right" vertical="center" indent="1"/>
      <protection hidden="1"/>
    </xf>
    <xf numFmtId="0" fontId="3" fillId="0" borderId="0" xfId="7" applyFont="1" applyFill="1" applyBorder="1" applyAlignment="1" applyProtection="1">
      <alignment horizontal="right" vertical="center" indent="1"/>
      <protection hidden="1"/>
    </xf>
    <xf numFmtId="178" fontId="12" fillId="0" borderId="0" xfId="13" applyNumberFormat="1" applyFont="1" applyFill="1" applyBorder="1" applyAlignment="1" applyProtection="1">
      <alignment horizontal="right" vertical="center" indent="1"/>
      <protection hidden="1"/>
    </xf>
    <xf numFmtId="178" fontId="6" fillId="0" borderId="0" xfId="13" applyNumberFormat="1" applyFont="1" applyFill="1" applyBorder="1" applyAlignment="1" applyProtection="1">
      <alignment horizontal="right" vertical="center" indent="1"/>
      <protection hidden="1"/>
    </xf>
    <xf numFmtId="0" fontId="6" fillId="0" borderId="0" xfId="13" applyFont="1" applyFill="1" applyBorder="1" applyAlignment="1" applyProtection="1">
      <alignment horizontal="right" vertical="center"/>
      <protection hidden="1"/>
    </xf>
    <xf numFmtId="176" fontId="6" fillId="0" borderId="0" xfId="3" applyNumberFormat="1" applyFont="1" applyFill="1" applyBorder="1" applyAlignment="1" applyProtection="1">
      <alignment horizontal="center" vertical="center"/>
      <protection hidden="1"/>
    </xf>
    <xf numFmtId="4" fontId="6" fillId="0" borderId="0" xfId="13" applyNumberFormat="1" applyFont="1" applyFill="1" applyBorder="1" applyAlignment="1" applyProtection="1">
      <alignment horizontal="center" vertical="center" wrapText="1"/>
      <protection hidden="1"/>
    </xf>
    <xf numFmtId="197" fontId="6" fillId="0" borderId="0" xfId="13" applyNumberFormat="1" applyFont="1" applyFill="1" applyBorder="1" applyAlignment="1" applyProtection="1">
      <alignment horizontal="center" vertical="center"/>
    </xf>
    <xf numFmtId="177" fontId="11" fillId="0" borderId="0" xfId="13" applyNumberFormat="1" applyFont="1" applyFill="1" applyBorder="1" applyAlignment="1" applyProtection="1">
      <alignment horizontal="right" vertical="center" indent="1"/>
      <protection hidden="1"/>
    </xf>
    <xf numFmtId="179" fontId="41" fillId="0" borderId="0" xfId="17" applyNumberFormat="1" applyFont="1" applyBorder="1" applyProtection="1">
      <protection hidden="1"/>
    </xf>
    <xf numFmtId="0" fontId="3" fillId="0" borderId="0" xfId="13" applyFont="1" applyFill="1" applyBorder="1" applyAlignment="1" applyProtection="1">
      <alignment horizontal="center" vertical="center" wrapText="1"/>
      <protection hidden="1"/>
    </xf>
    <xf numFmtId="0" fontId="3" fillId="4" borderId="0" xfId="13" applyFont="1" applyFill="1" applyBorder="1" applyAlignment="1" applyProtection="1">
      <alignment horizontal="center" vertical="center" wrapText="1"/>
      <protection hidden="1"/>
    </xf>
    <xf numFmtId="5" fontId="3" fillId="4" borderId="0" xfId="3" applyNumberFormat="1" applyFont="1" applyFill="1" applyBorder="1" applyAlignment="1" applyProtection="1">
      <alignment horizontal="right" vertical="center" indent="1"/>
      <protection hidden="1"/>
    </xf>
    <xf numFmtId="4" fontId="3" fillId="0" borderId="0" xfId="13" applyNumberFormat="1" applyFont="1" applyFill="1" applyBorder="1" applyAlignment="1" applyProtection="1">
      <alignment horizontal="center" vertical="center"/>
      <protection hidden="1"/>
    </xf>
    <xf numFmtId="198" fontId="3" fillId="4" borderId="0" xfId="3" applyNumberFormat="1" applyFont="1" applyFill="1" applyBorder="1" applyAlignment="1" applyProtection="1">
      <alignment horizontal="right" vertical="center" indent="1"/>
      <protection hidden="1"/>
    </xf>
    <xf numFmtId="198" fontId="3" fillId="0" borderId="0" xfId="3" applyNumberFormat="1" applyFont="1" applyFill="1" applyBorder="1" applyAlignment="1" applyProtection="1">
      <alignment horizontal="right" vertical="center" indent="1"/>
      <protection hidden="1"/>
    </xf>
    <xf numFmtId="177" fontId="3" fillId="4" borderId="0" xfId="13" applyNumberFormat="1" applyFont="1" applyFill="1" applyBorder="1" applyAlignment="1" applyProtection="1">
      <alignment horizontal="right" vertical="center" wrapText="1" indent="1"/>
    </xf>
    <xf numFmtId="177" fontId="3" fillId="0" borderId="0" xfId="13" applyNumberFormat="1" applyFont="1" applyFill="1" applyBorder="1" applyAlignment="1" applyProtection="1">
      <alignment horizontal="right" vertical="center" wrapText="1" indent="1"/>
    </xf>
    <xf numFmtId="177" fontId="3" fillId="4" borderId="6" xfId="13" applyNumberFormat="1" applyFont="1" applyFill="1" applyBorder="1" applyAlignment="1" applyProtection="1">
      <alignment horizontal="right" vertical="center" wrapText="1" indent="1"/>
    </xf>
    <xf numFmtId="49" fontId="3" fillId="6" borderId="7" xfId="5" applyNumberFormat="1" applyFont="1" applyFill="1" applyBorder="1" applyAlignment="1" applyProtection="1">
      <alignment horizontal="center"/>
      <protection hidden="1"/>
    </xf>
    <xf numFmtId="5" fontId="3" fillId="6" borderId="0" xfId="3" applyNumberFormat="1" applyFont="1" applyFill="1" applyBorder="1" applyAlignment="1" applyProtection="1">
      <alignment horizontal="right" vertical="center" indent="1"/>
      <protection hidden="1"/>
    </xf>
    <xf numFmtId="5" fontId="3" fillId="0" borderId="0" xfId="3" applyNumberFormat="1" applyFont="1" applyFill="1" applyBorder="1" applyAlignment="1" applyProtection="1">
      <alignment horizontal="right" vertical="center" indent="1"/>
      <protection hidden="1"/>
    </xf>
    <xf numFmtId="177" fontId="3" fillId="6" borderId="0" xfId="5" applyNumberFormat="1" applyFont="1" applyFill="1" applyBorder="1" applyAlignment="1" applyProtection="1">
      <alignment horizontal="right" vertical="center" indent="1"/>
      <protection hidden="1"/>
    </xf>
    <xf numFmtId="177" fontId="3" fillId="0" borderId="0" xfId="5" applyNumberFormat="1" applyFont="1" applyFill="1" applyBorder="1" applyAlignment="1" applyProtection="1">
      <alignment horizontal="right" vertical="center" indent="1"/>
      <protection hidden="1"/>
    </xf>
    <xf numFmtId="177" fontId="3" fillId="15" borderId="0" xfId="13" applyNumberFormat="1" applyFont="1" applyFill="1" applyBorder="1" applyAlignment="1" applyProtection="1">
      <alignment horizontal="right" vertical="center" wrapText="1" indent="1"/>
    </xf>
    <xf numFmtId="177" fontId="3" fillId="15" borderId="6" xfId="13" applyNumberFormat="1" applyFont="1" applyFill="1" applyBorder="1" applyAlignment="1" applyProtection="1">
      <alignment horizontal="right" vertical="center" wrapText="1" indent="1"/>
    </xf>
    <xf numFmtId="49" fontId="3" fillId="0" borderId="7" xfId="5" applyNumberFormat="1" applyFont="1" applyFill="1" applyBorder="1" applyAlignment="1" applyProtection="1">
      <alignment horizontal="center"/>
      <protection hidden="1"/>
    </xf>
    <xf numFmtId="177" fontId="3" fillId="4" borderId="0" xfId="5" applyNumberFormat="1" applyFont="1" applyFill="1" applyBorder="1" applyAlignment="1" applyProtection="1">
      <alignment horizontal="right" vertical="center" indent="1"/>
      <protection hidden="1"/>
    </xf>
    <xf numFmtId="5" fontId="3" fillId="15" borderId="0" xfId="3" applyNumberFormat="1" applyFont="1" applyFill="1" applyBorder="1" applyAlignment="1" applyProtection="1">
      <alignment horizontal="right" vertical="center" indent="1"/>
      <protection hidden="1"/>
    </xf>
    <xf numFmtId="49" fontId="3" fillId="0" borderId="15" xfId="5" applyNumberFormat="1" applyFont="1" applyFill="1" applyBorder="1" applyAlignment="1" applyProtection="1">
      <alignment horizontal="center"/>
      <protection hidden="1"/>
    </xf>
    <xf numFmtId="0" fontId="3" fillId="0" borderId="16" xfId="13" applyFont="1" applyFill="1" applyBorder="1" applyAlignment="1" applyProtection="1">
      <alignment horizontal="center"/>
      <protection hidden="1"/>
    </xf>
    <xf numFmtId="5" fontId="3" fillId="4" borderId="16" xfId="3" applyNumberFormat="1" applyFont="1" applyFill="1" applyBorder="1" applyAlignment="1" applyProtection="1">
      <alignment horizontal="right" vertical="center" indent="1"/>
      <protection hidden="1"/>
    </xf>
    <xf numFmtId="5" fontId="3" fillId="0" borderId="16" xfId="3" applyNumberFormat="1" applyFont="1" applyFill="1" applyBorder="1" applyAlignment="1" applyProtection="1">
      <alignment horizontal="right" vertical="center" indent="1"/>
      <protection hidden="1"/>
    </xf>
    <xf numFmtId="177" fontId="3" fillId="0" borderId="16" xfId="5" applyNumberFormat="1" applyFont="1" applyFill="1" applyBorder="1" applyAlignment="1" applyProtection="1">
      <alignment horizontal="right" vertical="center" indent="1"/>
      <protection hidden="1"/>
    </xf>
    <xf numFmtId="177" fontId="3" fillId="4" borderId="16" xfId="13" applyNumberFormat="1" applyFont="1" applyFill="1" applyBorder="1" applyAlignment="1" applyProtection="1">
      <alignment horizontal="right" vertical="center" wrapText="1" indent="1"/>
    </xf>
    <xf numFmtId="198" fontId="3" fillId="0" borderId="16" xfId="3" applyNumberFormat="1" applyFont="1" applyFill="1" applyBorder="1" applyAlignment="1" applyProtection="1">
      <alignment horizontal="right" vertical="center" indent="1"/>
      <protection hidden="1"/>
    </xf>
    <xf numFmtId="177" fontId="3" fillId="4" borderId="17" xfId="13" applyNumberFormat="1" applyFont="1" applyFill="1" applyBorder="1" applyAlignment="1" applyProtection="1">
      <alignment horizontal="right" vertical="center" wrapText="1" indent="1"/>
    </xf>
    <xf numFmtId="198" fontId="3" fillId="6" borderId="0" xfId="3" applyNumberFormat="1" applyFont="1" applyFill="1" applyBorder="1" applyAlignment="1" applyProtection="1">
      <alignment horizontal="right" vertical="center" indent="1"/>
      <protection hidden="1"/>
    </xf>
    <xf numFmtId="49" fontId="3" fillId="6" borderId="5" xfId="5" applyNumberFormat="1" applyFont="1" applyFill="1" applyBorder="1" applyAlignment="1" applyProtection="1">
      <alignment horizontal="center"/>
      <protection hidden="1"/>
    </xf>
    <xf numFmtId="0" fontId="3" fillId="0" borderId="4" xfId="13" applyFont="1" applyFill="1" applyBorder="1" applyAlignment="1" applyProtection="1">
      <alignment horizontal="center"/>
      <protection hidden="1"/>
    </xf>
    <xf numFmtId="5" fontId="3" fillId="6" borderId="4" xfId="3" applyNumberFormat="1" applyFont="1" applyFill="1" applyBorder="1" applyAlignment="1" applyProtection="1">
      <alignment horizontal="right" vertical="center" indent="1"/>
      <protection hidden="1"/>
    </xf>
    <xf numFmtId="5" fontId="3" fillId="0" borderId="4" xfId="3" applyNumberFormat="1" applyFont="1" applyFill="1" applyBorder="1" applyAlignment="1" applyProtection="1">
      <alignment horizontal="right" vertical="center" indent="1"/>
      <protection hidden="1"/>
    </xf>
    <xf numFmtId="198" fontId="3" fillId="6" borderId="4" xfId="3" applyNumberFormat="1" applyFont="1" applyFill="1" applyBorder="1" applyAlignment="1" applyProtection="1">
      <alignment horizontal="right" vertical="center" indent="1"/>
      <protection hidden="1"/>
    </xf>
    <xf numFmtId="198" fontId="3" fillId="0" borderId="4" xfId="3" applyNumberFormat="1" applyFont="1" applyFill="1" applyBorder="1" applyAlignment="1" applyProtection="1">
      <alignment horizontal="right" vertical="center" indent="1"/>
      <protection hidden="1"/>
    </xf>
    <xf numFmtId="177" fontId="3" fillId="15" borderId="4" xfId="13" applyNumberFormat="1" applyFont="1" applyFill="1" applyBorder="1" applyAlignment="1" applyProtection="1">
      <alignment horizontal="right" vertical="center" wrapText="1" indent="1"/>
    </xf>
    <xf numFmtId="177" fontId="3" fillId="15" borderId="3" xfId="13" applyNumberFormat="1" applyFont="1" applyFill="1" applyBorder="1" applyAlignment="1" applyProtection="1">
      <alignment horizontal="right" vertical="center" wrapText="1" indent="1"/>
    </xf>
    <xf numFmtId="0" fontId="13" fillId="6" borderId="18" xfId="13" applyFont="1" applyFill="1" applyBorder="1" applyAlignment="1" applyProtection="1">
      <alignment horizontal="center" vertical="center"/>
      <protection hidden="1"/>
    </xf>
    <xf numFmtId="0" fontId="13" fillId="0" borderId="19" xfId="13" applyFont="1" applyFill="1" applyBorder="1" applyAlignment="1" applyProtection="1">
      <alignment horizontal="center" vertical="center"/>
      <protection hidden="1"/>
    </xf>
    <xf numFmtId="0" fontId="13" fillId="6" borderId="19" xfId="13" applyFont="1" applyFill="1" applyBorder="1" applyAlignment="1" applyProtection="1">
      <alignment horizontal="center" vertical="center" wrapText="1"/>
      <protection hidden="1"/>
    </xf>
    <xf numFmtId="0" fontId="13" fillId="0" borderId="19" xfId="13" applyFont="1" applyFill="1" applyBorder="1" applyAlignment="1" applyProtection="1">
      <alignment horizontal="center" vertical="center" wrapText="1"/>
      <protection hidden="1"/>
    </xf>
    <xf numFmtId="4" fontId="13" fillId="6" borderId="19" xfId="13" applyNumberFormat="1" applyFont="1" applyFill="1" applyBorder="1" applyAlignment="1" applyProtection="1">
      <alignment horizontal="center" vertical="center"/>
      <protection hidden="1"/>
    </xf>
    <xf numFmtId="4" fontId="13" fillId="0" borderId="19" xfId="13" applyNumberFormat="1" applyFont="1" applyFill="1" applyBorder="1" applyAlignment="1" applyProtection="1">
      <alignment horizontal="center" vertical="center"/>
      <protection hidden="1"/>
    </xf>
    <xf numFmtId="0" fontId="13" fillId="6" borderId="19" xfId="13" applyFont="1" applyFill="1" applyBorder="1" applyAlignment="1" applyProtection="1">
      <alignment horizontal="center" vertical="center"/>
      <protection hidden="1"/>
    </xf>
    <xf numFmtId="0" fontId="13" fillId="6" borderId="19" xfId="13" applyFont="1" applyFill="1" applyBorder="1" applyAlignment="1" applyProtection="1">
      <alignment horizontal="center" vertical="center" wrapText="1"/>
    </xf>
    <xf numFmtId="0" fontId="13" fillId="0" borderId="19" xfId="13" applyFont="1" applyFill="1" applyBorder="1" applyAlignment="1" applyProtection="1">
      <alignment horizontal="center" vertical="center" wrapText="1"/>
    </xf>
    <xf numFmtId="0" fontId="13" fillId="6" borderId="20" xfId="13" applyFont="1" applyFill="1" applyBorder="1" applyAlignment="1" applyProtection="1">
      <alignment horizontal="center" vertical="center"/>
    </xf>
    <xf numFmtId="0" fontId="4" fillId="0" borderId="0" xfId="13" applyFont="1" applyFill="1" applyBorder="1" applyAlignment="1" applyProtection="1">
      <protection hidden="1"/>
    </xf>
    <xf numFmtId="0" fontId="4" fillId="0" borderId="0" xfId="13" applyFont="1" applyFill="1" applyBorder="1" applyAlignment="1" applyProtection="1">
      <alignment vertical="center"/>
    </xf>
    <xf numFmtId="0" fontId="3" fillId="0" borderId="0" xfId="13" applyFont="1" applyFill="1" applyBorder="1" applyAlignment="1" applyProtection="1">
      <alignment horizontal="right" vertical="center" indent="1"/>
      <protection hidden="1"/>
    </xf>
    <xf numFmtId="0" fontId="12" fillId="0" borderId="0" xfId="13" applyFont="1" applyFill="1" applyBorder="1" applyAlignment="1" applyProtection="1">
      <alignment horizontal="right" vertical="center" indent="1"/>
      <protection hidden="1"/>
    </xf>
    <xf numFmtId="0" fontId="3" fillId="0" borderId="0" xfId="13" applyFont="1" applyAlignment="1" applyProtection="1">
      <alignment horizontal="right" vertical="center" indent="1"/>
      <protection hidden="1"/>
    </xf>
    <xf numFmtId="9" fontId="3" fillId="3" borderId="0" xfId="10" applyNumberFormat="1" applyFont="1" applyFill="1" applyBorder="1" applyAlignment="1" applyProtection="1">
      <alignment horizontal="right" vertical="center" indent="1"/>
    </xf>
    <xf numFmtId="164" fontId="45" fillId="14" borderId="0" xfId="0" applyNumberFormat="1" applyFont="1" applyFill="1" applyAlignment="1" applyProtection="1">
      <alignment horizontal="center" vertical="center"/>
    </xf>
    <xf numFmtId="165" fontId="45" fillId="14" borderId="0" xfId="0" applyNumberFormat="1" applyFont="1" applyFill="1" applyAlignment="1" applyProtection="1">
      <alignment horizontal="center" vertical="center"/>
    </xf>
    <xf numFmtId="211" fontId="3" fillId="5" borderId="20" xfId="13" applyNumberFormat="1" applyFont="1" applyFill="1" applyBorder="1" applyAlignment="1" applyProtection="1">
      <alignment horizontal="center" vertical="center"/>
      <protection locked="0" hidden="1"/>
    </xf>
    <xf numFmtId="211" fontId="3" fillId="5" borderId="21" xfId="13" applyNumberFormat="1" applyFont="1" applyFill="1" applyBorder="1" applyAlignment="1" applyProtection="1">
      <alignment horizontal="center" vertical="center"/>
      <protection locked="0" hidden="1"/>
    </xf>
    <xf numFmtId="211" fontId="3" fillId="5" borderId="22" xfId="13" applyNumberFormat="1" applyFont="1" applyFill="1" applyBorder="1" applyAlignment="1" applyProtection="1">
      <alignment horizontal="center" vertical="center"/>
      <protection locked="0" hidden="1"/>
    </xf>
    <xf numFmtId="0" fontId="3" fillId="0" borderId="2" xfId="13" applyFont="1" applyBorder="1" applyAlignment="1" applyProtection="1">
      <alignment horizontal="center" vertical="center"/>
    </xf>
    <xf numFmtId="0" fontId="3" fillId="0" borderId="1" xfId="13" applyFont="1" applyBorder="1" applyAlignment="1" applyProtection="1">
      <alignment horizontal="center" vertical="center"/>
    </xf>
    <xf numFmtId="0" fontId="3" fillId="0" borderId="8" xfId="13" applyFont="1" applyBorder="1" applyAlignment="1" applyProtection="1">
      <alignment horizontal="center" vertical="center"/>
    </xf>
    <xf numFmtId="171" fontId="4" fillId="0" borderId="0" xfId="13" applyNumberFormat="1" applyFont="1" applyFill="1" applyBorder="1" applyProtection="1"/>
    <xf numFmtId="0" fontId="3" fillId="0" borderId="23" xfId="13" applyFont="1" applyBorder="1" applyAlignment="1" applyProtection="1">
      <alignment horizontal="center" vertical="center"/>
      <protection hidden="1"/>
    </xf>
    <xf numFmtId="0" fontId="3" fillId="0" borderId="7" xfId="13" applyFont="1" applyFill="1" applyBorder="1" applyAlignment="1" applyProtection="1">
      <alignment horizontal="center" vertical="center"/>
      <protection hidden="1"/>
    </xf>
    <xf numFmtId="0" fontId="3" fillId="0" borderId="7" xfId="13" applyFont="1" applyBorder="1" applyAlignment="1" applyProtection="1">
      <alignment horizontal="center" vertical="center"/>
      <protection hidden="1"/>
    </xf>
    <xf numFmtId="0" fontId="3" fillId="0" borderId="7" xfId="13" applyFont="1" applyFill="1" applyBorder="1" applyAlignment="1" applyProtection="1">
      <alignment vertical="center"/>
      <protection hidden="1"/>
    </xf>
    <xf numFmtId="0" fontId="3" fillId="0" borderId="5" xfId="13" applyFont="1" applyBorder="1" applyAlignment="1" applyProtection="1">
      <alignment horizontal="center" vertical="center"/>
      <protection hidden="1"/>
    </xf>
    <xf numFmtId="0" fontId="6" fillId="0" borderId="0" xfId="13" applyFont="1" applyFill="1" applyBorder="1" applyProtection="1">
      <protection hidden="1"/>
    </xf>
    <xf numFmtId="2" fontId="5" fillId="0" borderId="0" xfId="13" applyNumberFormat="1" applyFont="1" applyFill="1" applyBorder="1" applyProtection="1">
      <protection hidden="1"/>
    </xf>
    <xf numFmtId="4" fontId="6" fillId="0" borderId="0" xfId="13" applyNumberFormat="1" applyFont="1" applyBorder="1" applyProtection="1">
      <protection hidden="1"/>
    </xf>
    <xf numFmtId="0" fontId="4" fillId="0" borderId="0" xfId="13" applyAlignment="1" applyProtection="1">
      <protection hidden="1"/>
    </xf>
    <xf numFmtId="4" fontId="6" fillId="0" borderId="0" xfId="13" applyNumberFormat="1" applyFont="1" applyBorder="1" applyAlignment="1" applyProtection="1">
      <protection hidden="1"/>
    </xf>
    <xf numFmtId="195" fontId="13" fillId="0" borderId="0" xfId="13" applyNumberFormat="1" applyFont="1" applyBorder="1" applyAlignment="1" applyProtection="1">
      <alignment vertical="center"/>
      <protection hidden="1"/>
    </xf>
    <xf numFmtId="0" fontId="13" fillId="0" borderId="0" xfId="13" applyFont="1" applyBorder="1" applyAlignment="1" applyProtection="1">
      <alignment horizontal="right" vertical="center"/>
      <protection hidden="1"/>
    </xf>
    <xf numFmtId="0" fontId="6" fillId="0" borderId="0" xfId="13" applyFont="1" applyBorder="1" applyProtection="1">
      <protection hidden="1"/>
    </xf>
    <xf numFmtId="0" fontId="4" fillId="0" borderId="0" xfId="13" applyBorder="1" applyAlignment="1" applyProtection="1">
      <alignment horizontal="right" vertical="center"/>
    </xf>
    <xf numFmtId="0" fontId="5" fillId="0" borderId="0" xfId="13" applyFont="1" applyBorder="1" applyAlignment="1" applyProtection="1">
      <alignment horizontal="right"/>
      <protection hidden="1"/>
    </xf>
    <xf numFmtId="0" fontId="6" fillId="0" borderId="0" xfId="13" applyFont="1" applyBorder="1" applyAlignment="1" applyProtection="1">
      <protection hidden="1"/>
    </xf>
    <xf numFmtId="4" fontId="5" fillId="0" borderId="0" xfId="13" applyNumberFormat="1" applyFont="1" applyBorder="1" applyProtection="1">
      <protection hidden="1"/>
    </xf>
    <xf numFmtId="0" fontId="4" fillId="0" borderId="0" xfId="13" applyBorder="1" applyAlignment="1" applyProtection="1">
      <alignment horizontal="right"/>
    </xf>
    <xf numFmtId="0" fontId="4" fillId="0" borderId="0" xfId="13" applyBorder="1" applyAlignment="1" applyProtection="1"/>
    <xf numFmtId="0" fontId="4" fillId="0" borderId="0" xfId="13" applyBorder="1" applyAlignment="1" applyProtection="1">
      <protection hidden="1"/>
    </xf>
    <xf numFmtId="49" fontId="10" fillId="0" borderId="0" xfId="7" applyNumberFormat="1" applyBorder="1" applyAlignment="1" applyProtection="1">
      <protection hidden="1"/>
    </xf>
    <xf numFmtId="0" fontId="5" fillId="0" borderId="0" xfId="13" applyFont="1" applyBorder="1" applyAlignment="1" applyProtection="1">
      <protection hidden="1"/>
    </xf>
    <xf numFmtId="171" fontId="8" fillId="5" borderId="24" xfId="13" applyNumberFormat="1" applyFont="1" applyFill="1" applyBorder="1" applyAlignment="1" applyProtection="1">
      <alignment horizontal="center" vertical="center"/>
      <protection locked="0"/>
    </xf>
    <xf numFmtId="0" fontId="4" fillId="0" borderId="25" xfId="13" applyFont="1" applyBorder="1" applyAlignment="1" applyProtection="1">
      <alignment vertical="center"/>
    </xf>
    <xf numFmtId="0" fontId="4" fillId="0" borderId="2" xfId="13" applyFont="1" applyBorder="1" applyAlignment="1" applyProtection="1">
      <alignment vertical="center"/>
    </xf>
    <xf numFmtId="0" fontId="4" fillId="0" borderId="8" xfId="13" applyFont="1" applyBorder="1" applyAlignment="1" applyProtection="1">
      <alignment vertical="center"/>
    </xf>
    <xf numFmtId="0" fontId="4" fillId="0" borderId="0" xfId="13" applyBorder="1" applyAlignment="1">
      <alignment vertical="center"/>
    </xf>
    <xf numFmtId="0" fontId="4" fillId="0" borderId="0" xfId="13" applyFont="1" applyAlignment="1">
      <alignment wrapText="1"/>
    </xf>
    <xf numFmtId="0" fontId="4" fillId="0" borderId="14" xfId="13" applyFont="1" applyBorder="1" applyAlignment="1" applyProtection="1"/>
    <xf numFmtId="171" fontId="8" fillId="5" borderId="1" xfId="13" applyNumberFormat="1" applyFont="1" applyFill="1" applyBorder="1" applyAlignment="1" applyProtection="1">
      <alignment horizontal="center" vertical="center"/>
      <protection locked="0"/>
    </xf>
    <xf numFmtId="0" fontId="8" fillId="0" borderId="2" xfId="13" applyFont="1" applyBorder="1" applyAlignment="1" applyProtection="1">
      <alignment horizontal="right" vertical="center" indent="1"/>
    </xf>
    <xf numFmtId="0" fontId="5" fillId="0" borderId="2" xfId="13" applyFont="1" applyBorder="1" applyProtection="1">
      <protection hidden="1"/>
    </xf>
    <xf numFmtId="0" fontId="22" fillId="0" borderId="2" xfId="13" applyFont="1" applyBorder="1" applyAlignment="1">
      <alignment wrapText="1"/>
    </xf>
    <xf numFmtId="0" fontId="22" fillId="0" borderId="8" xfId="13" applyFont="1" applyBorder="1" applyAlignment="1">
      <alignment wrapText="1"/>
    </xf>
    <xf numFmtId="0" fontId="22" fillId="6" borderId="0" xfId="13" applyFont="1" applyFill="1" applyProtection="1">
      <protection hidden="1"/>
    </xf>
    <xf numFmtId="0" fontId="22" fillId="6" borderId="0" xfId="13" applyFont="1" applyFill="1" applyAlignment="1">
      <alignment horizontal="left"/>
    </xf>
    <xf numFmtId="0" fontId="23" fillId="0" borderId="0" xfId="13" applyFont="1" applyFill="1" applyAlignment="1" applyProtection="1">
      <alignment horizontal="left" vertical="center" indent="1"/>
      <protection hidden="1"/>
    </xf>
    <xf numFmtId="0" fontId="4" fillId="0" borderId="0" xfId="13" applyFont="1" applyAlignment="1" applyProtection="1">
      <alignment wrapText="1"/>
    </xf>
    <xf numFmtId="0" fontId="4" fillId="0" borderId="0" xfId="13" applyFill="1" applyBorder="1" applyAlignment="1">
      <alignment horizontal="center" vertical="center"/>
    </xf>
    <xf numFmtId="10" fontId="24" fillId="0" borderId="0" xfId="13" applyNumberFormat="1" applyFont="1" applyFill="1" applyBorder="1" applyAlignment="1" applyProtection="1">
      <alignment horizontal="center" vertical="center"/>
      <protection hidden="1"/>
    </xf>
    <xf numFmtId="0" fontId="23" fillId="0" borderId="0" xfId="13" applyFont="1" applyFill="1" applyBorder="1" applyAlignment="1" applyProtection="1">
      <alignment horizontal="right" vertical="center"/>
      <protection hidden="1"/>
    </xf>
    <xf numFmtId="0" fontId="23" fillId="0" borderId="0" xfId="13" applyFont="1" applyBorder="1" applyAlignment="1" applyProtection="1">
      <alignment vertical="center"/>
      <protection hidden="1"/>
    </xf>
    <xf numFmtId="224" fontId="12" fillId="0" borderId="0" xfId="13" applyNumberFormat="1" applyFont="1" applyFill="1" applyAlignment="1" applyProtection="1">
      <alignment horizontal="left" vertical="center" indent="1"/>
      <protection hidden="1"/>
    </xf>
    <xf numFmtId="0" fontId="3" fillId="0" borderId="0" xfId="13" applyFont="1" applyFill="1" applyAlignment="1"/>
    <xf numFmtId="0" fontId="12" fillId="0" borderId="0" xfId="13" applyFont="1" applyFill="1" applyAlignment="1" applyProtection="1">
      <alignment horizontal="right" vertical="center"/>
      <protection hidden="1"/>
    </xf>
    <xf numFmtId="0" fontId="4" fillId="0" borderId="0" xfId="13" applyFont="1" applyProtection="1">
      <protection hidden="1"/>
    </xf>
    <xf numFmtId="0" fontId="4" fillId="0" borderId="0" xfId="13" applyFont="1" applyFill="1" applyBorder="1" applyAlignment="1">
      <alignment horizontal="center" vertical="center"/>
    </xf>
    <xf numFmtId="10" fontId="8" fillId="0" borderId="0" xfId="13" applyNumberFormat="1" applyFont="1" applyFill="1" applyBorder="1" applyAlignment="1" applyProtection="1">
      <alignment horizontal="center" vertical="center"/>
      <protection hidden="1"/>
    </xf>
    <xf numFmtId="0" fontId="4" fillId="0" borderId="0" xfId="13" applyFont="1" applyFill="1" applyProtection="1">
      <protection hidden="1"/>
    </xf>
    <xf numFmtId="0" fontId="4" fillId="0" borderId="0" xfId="13" applyFont="1" applyFill="1" applyBorder="1" applyAlignment="1" applyProtection="1">
      <alignment vertical="center"/>
      <protection hidden="1"/>
    </xf>
    <xf numFmtId="0" fontId="27" fillId="0" borderId="0" xfId="13" applyFont="1" applyFill="1" applyBorder="1" applyAlignment="1" applyProtection="1">
      <alignment horizontal="left" vertical="center" indent="1"/>
      <protection hidden="1"/>
    </xf>
    <xf numFmtId="0" fontId="28" fillId="0" borderId="0" xfId="13" applyFont="1" applyFill="1" applyBorder="1" applyAlignment="1" applyProtection="1">
      <alignment horizontal="right" vertical="center" indent="1"/>
      <protection hidden="1"/>
    </xf>
    <xf numFmtId="0" fontId="5" fillId="0" borderId="0" xfId="13" applyFont="1" applyFill="1" applyBorder="1" applyAlignment="1" applyProtection="1">
      <alignment vertical="center"/>
      <protection hidden="1"/>
    </xf>
    <xf numFmtId="225" fontId="6" fillId="15" borderId="0" xfId="3" applyNumberFormat="1" applyFont="1" applyFill="1" applyBorder="1" applyAlignment="1" applyProtection="1">
      <alignment horizontal="center" vertical="center"/>
    </xf>
    <xf numFmtId="225" fontId="6" fillId="15" borderId="0" xfId="3" applyNumberFormat="1" applyFont="1" applyFill="1" applyBorder="1" applyAlignment="1" applyProtection="1">
      <alignment horizontal="right" vertical="center"/>
    </xf>
    <xf numFmtId="0" fontId="6" fillId="0" borderId="0" xfId="13" applyFont="1" applyFill="1" applyBorder="1" applyAlignment="1" applyProtection="1">
      <alignment horizontal="right" vertical="center" indent="1"/>
      <protection hidden="1"/>
    </xf>
    <xf numFmtId="0" fontId="5" fillId="0" borderId="0" xfId="13" applyFont="1" applyBorder="1" applyAlignment="1" applyProtection="1">
      <alignment vertical="center"/>
      <protection hidden="1"/>
    </xf>
    <xf numFmtId="0" fontId="29" fillId="0" borderId="0" xfId="13" applyFont="1" applyAlignment="1">
      <alignment horizontal="center" vertical="center"/>
    </xf>
    <xf numFmtId="225" fontId="6" fillId="4" borderId="0" xfId="3" applyNumberFormat="1" applyFont="1" applyFill="1" applyBorder="1" applyAlignment="1" applyProtection="1">
      <alignment horizontal="center" vertical="center"/>
    </xf>
    <xf numFmtId="225" fontId="6" fillId="4" borderId="0" xfId="3" applyNumberFormat="1" applyFont="1" applyFill="1" applyBorder="1" applyAlignment="1" applyProtection="1">
      <alignment horizontal="right" vertical="center"/>
    </xf>
    <xf numFmtId="0" fontId="5" fillId="7" borderId="0" xfId="13" applyFont="1" applyFill="1" applyBorder="1" applyProtection="1">
      <protection hidden="1"/>
    </xf>
    <xf numFmtId="0" fontId="5" fillId="0" borderId="0" xfId="13" applyFont="1" applyAlignment="1" applyProtection="1">
      <alignment vertical="center"/>
      <protection hidden="1"/>
    </xf>
    <xf numFmtId="0" fontId="5" fillId="7" borderId="0" xfId="13" applyFont="1" applyFill="1" applyProtection="1">
      <protection hidden="1"/>
    </xf>
    <xf numFmtId="0" fontId="5" fillId="0" borderId="0" xfId="13" applyFont="1" applyBorder="1" applyAlignment="1" applyProtection="1">
      <alignment horizontal="right" vertical="center"/>
      <protection hidden="1"/>
    </xf>
    <xf numFmtId="0" fontId="5" fillId="0" borderId="0" xfId="13" applyFont="1" applyBorder="1" applyAlignment="1" applyProtection="1">
      <alignment horizontal="center" vertical="center"/>
      <protection hidden="1"/>
    </xf>
    <xf numFmtId="171" fontId="5" fillId="0" borderId="0" xfId="10" applyNumberFormat="1" applyFont="1" applyBorder="1" applyProtection="1">
      <protection hidden="1"/>
    </xf>
    <xf numFmtId="0" fontId="6" fillId="6" borderId="0" xfId="13" applyFont="1" applyFill="1" applyProtection="1">
      <protection hidden="1"/>
    </xf>
    <xf numFmtId="223" fontId="6" fillId="15" borderId="0" xfId="13" applyNumberFormat="1" applyFont="1" applyFill="1" applyProtection="1">
      <protection hidden="1"/>
    </xf>
    <xf numFmtId="0" fontId="6" fillId="0" borderId="0" xfId="13" applyFont="1" applyProtection="1">
      <protection hidden="1"/>
    </xf>
    <xf numFmtId="0" fontId="6" fillId="0" borderId="0" xfId="13" applyFont="1" applyAlignment="1" applyProtection="1">
      <alignment vertical="center"/>
      <protection hidden="1"/>
    </xf>
    <xf numFmtId="6" fontId="6" fillId="6" borderId="0" xfId="13" applyNumberFormat="1" applyFont="1" applyFill="1" applyBorder="1" applyAlignment="1" applyProtection="1">
      <alignment horizontal="left" vertical="center"/>
      <protection hidden="1"/>
    </xf>
    <xf numFmtId="198" fontId="6" fillId="6" borderId="0" xfId="13" applyNumberFormat="1" applyFont="1" applyFill="1" applyBorder="1" applyAlignment="1" applyProtection="1">
      <alignment horizontal="right" vertical="center"/>
      <protection hidden="1"/>
    </xf>
    <xf numFmtId="0" fontId="6" fillId="6" borderId="0" xfId="13" applyFont="1" applyFill="1" applyBorder="1" applyAlignment="1" applyProtection="1">
      <alignment vertical="center"/>
      <protection hidden="1"/>
    </xf>
    <xf numFmtId="0" fontId="6" fillId="6" borderId="0" xfId="13" applyFont="1" applyFill="1" applyBorder="1" applyAlignment="1" applyProtection="1">
      <alignment horizontal="left" vertical="center" indent="1"/>
      <protection hidden="1"/>
    </xf>
    <xf numFmtId="177" fontId="6" fillId="5" borderId="0" xfId="13" applyNumberFormat="1" applyFont="1" applyFill="1" applyBorder="1" applyAlignment="1" applyProtection="1">
      <alignment vertical="center"/>
      <protection hidden="1"/>
    </xf>
    <xf numFmtId="3" fontId="6" fillId="8" borderId="0" xfId="13" applyNumberFormat="1" applyFont="1" applyFill="1" applyBorder="1" applyAlignment="1" applyProtection="1">
      <alignment horizontal="right" vertical="center"/>
      <protection locked="0"/>
    </xf>
    <xf numFmtId="0" fontId="6" fillId="0" borderId="0" xfId="13" applyFont="1" applyFill="1" applyProtection="1">
      <protection hidden="1"/>
    </xf>
    <xf numFmtId="0" fontId="6" fillId="0" borderId="0" xfId="13" applyFont="1" applyFill="1" applyBorder="1" applyAlignment="1" applyProtection="1">
      <alignment vertical="center"/>
      <protection hidden="1"/>
    </xf>
    <xf numFmtId="0" fontId="6" fillId="0" borderId="0" xfId="13" applyFont="1" applyFill="1" applyBorder="1" applyAlignment="1" applyProtection="1">
      <alignment horizontal="left" vertical="center" indent="1"/>
    </xf>
    <xf numFmtId="0" fontId="6" fillId="8" borderId="0" xfId="13" applyNumberFormat="1" applyFont="1" applyFill="1" applyBorder="1" applyAlignment="1" applyProtection="1">
      <alignment horizontal="right" vertical="center"/>
    </xf>
    <xf numFmtId="1" fontId="6" fillId="8" borderId="0" xfId="13" applyNumberFormat="1" applyFont="1" applyFill="1" applyBorder="1" applyAlignment="1" applyProtection="1">
      <alignment horizontal="right" vertical="center"/>
      <protection locked="0"/>
    </xf>
    <xf numFmtId="0" fontId="6" fillId="6" borderId="0" xfId="13" applyFont="1" applyFill="1" applyBorder="1" applyAlignment="1" applyProtection="1">
      <alignment horizontal="left" vertical="center" indent="1"/>
    </xf>
    <xf numFmtId="0" fontId="6" fillId="6" borderId="0" xfId="13" applyFont="1" applyFill="1" applyBorder="1" applyAlignment="1" applyProtection="1">
      <alignment horizontal="left" vertical="center"/>
      <protection hidden="1"/>
    </xf>
    <xf numFmtId="198" fontId="6" fillId="6" borderId="0" xfId="3" applyNumberFormat="1" applyFont="1" applyFill="1" applyBorder="1" applyAlignment="1" applyProtection="1">
      <alignment horizontal="right" vertical="center" indent="1"/>
    </xf>
    <xf numFmtId="181" fontId="6" fillId="6" borderId="0" xfId="1" applyNumberFormat="1" applyFont="1" applyFill="1" applyBorder="1" applyAlignment="1" applyProtection="1">
      <alignment horizontal="right" vertical="center"/>
      <protection hidden="1"/>
    </xf>
    <xf numFmtId="9" fontId="6" fillId="6" borderId="0" xfId="10" applyFont="1" applyFill="1" applyBorder="1" applyAlignment="1" applyProtection="1">
      <alignment horizontal="center" vertical="center"/>
      <protection hidden="1"/>
    </xf>
    <xf numFmtId="7" fontId="6" fillId="5" borderId="0" xfId="1" applyNumberFormat="1" applyFont="1" applyFill="1" applyBorder="1" applyAlignment="1" applyProtection="1">
      <alignment vertical="center"/>
    </xf>
    <xf numFmtId="3" fontId="6" fillId="5" borderId="0" xfId="13" applyNumberFormat="1" applyFont="1" applyFill="1" applyBorder="1" applyAlignment="1" applyProtection="1">
      <alignment horizontal="right" vertical="center"/>
      <protection locked="0"/>
    </xf>
    <xf numFmtId="0" fontId="6" fillId="0" borderId="0" xfId="13" applyFont="1" applyFill="1" applyBorder="1" applyAlignment="1" applyProtection="1">
      <alignment horizontal="left" vertical="center" indent="1"/>
      <protection hidden="1"/>
    </xf>
    <xf numFmtId="0" fontId="4" fillId="0" borderId="0" xfId="13" applyFont="1" applyFill="1" applyBorder="1" applyAlignment="1" applyProtection="1">
      <alignment horizontal="left"/>
    </xf>
    <xf numFmtId="0" fontId="6" fillId="5" borderId="0" xfId="13" applyFont="1" applyFill="1" applyBorder="1" applyAlignment="1" applyProtection="1">
      <alignment horizontal="right" vertical="center"/>
      <protection locked="0"/>
    </xf>
    <xf numFmtId="0" fontId="6" fillId="0" borderId="0" xfId="13" applyFont="1" applyBorder="1" applyAlignment="1" applyProtection="1">
      <alignment horizontal="right" vertical="center"/>
      <protection hidden="1"/>
    </xf>
    <xf numFmtId="1" fontId="6" fillId="5" borderId="0" xfId="10" applyNumberFormat="1" applyFont="1" applyFill="1" applyBorder="1" applyAlignment="1" applyProtection="1">
      <alignment vertical="center"/>
      <protection hidden="1"/>
    </xf>
    <xf numFmtId="1" fontId="6" fillId="5" borderId="0" xfId="10" applyNumberFormat="1" applyFont="1" applyFill="1" applyBorder="1" applyAlignment="1" applyProtection="1">
      <alignment horizontal="right" vertical="center"/>
      <protection locked="0"/>
    </xf>
    <xf numFmtId="0" fontId="6" fillId="6" borderId="0" xfId="13" applyFont="1" applyFill="1" applyBorder="1" applyProtection="1">
      <protection hidden="1"/>
    </xf>
    <xf numFmtId="0" fontId="6" fillId="6" borderId="0" xfId="13" applyFont="1" applyFill="1" applyAlignment="1" applyProtection="1">
      <alignment vertical="center"/>
      <protection hidden="1"/>
    </xf>
    <xf numFmtId="228" fontId="6" fillId="5" borderId="0" xfId="13" applyNumberFormat="1" applyFont="1" applyFill="1" applyBorder="1" applyAlignment="1" applyProtection="1">
      <alignment vertical="center"/>
    </xf>
    <xf numFmtId="2" fontId="6" fillId="5" borderId="0" xfId="13" applyNumberFormat="1" applyFont="1" applyFill="1" applyBorder="1" applyAlignment="1" applyProtection="1">
      <alignment horizontal="right" vertical="center"/>
      <protection locked="0"/>
    </xf>
    <xf numFmtId="230" fontId="6" fillId="6" borderId="0" xfId="13" applyNumberFormat="1" applyFont="1" applyFill="1" applyBorder="1" applyAlignment="1" applyProtection="1">
      <alignment horizontal="right" vertical="center" indent="1"/>
      <protection hidden="1"/>
    </xf>
    <xf numFmtId="228" fontId="6" fillId="6" borderId="0" xfId="13" applyNumberFormat="1" applyFont="1" applyFill="1" applyBorder="1" applyAlignment="1" applyProtection="1">
      <alignment horizontal="left" vertical="center"/>
    </xf>
    <xf numFmtId="3" fontId="6" fillId="6" borderId="0" xfId="13" applyNumberFormat="1" applyFont="1" applyFill="1" applyBorder="1" applyAlignment="1" applyProtection="1">
      <alignment horizontal="right" vertical="center"/>
      <protection hidden="1"/>
    </xf>
    <xf numFmtId="198" fontId="4" fillId="0" borderId="0" xfId="3" applyNumberFormat="1" applyFont="1" applyFill="1" applyBorder="1" applyAlignment="1" applyProtection="1">
      <alignment horizontal="left" vertical="center" indent="1"/>
    </xf>
    <xf numFmtId="0" fontId="6" fillId="16" borderId="0" xfId="13" applyFont="1" applyFill="1" applyAlignment="1" applyProtection="1">
      <alignment vertical="center"/>
      <protection hidden="1"/>
    </xf>
    <xf numFmtId="0" fontId="6" fillId="5" borderId="0" xfId="13" applyFont="1" applyFill="1" applyAlignment="1" applyProtection="1">
      <alignment horizontal="right" vertical="center" indent="1"/>
      <protection locked="0" hidden="1"/>
    </xf>
    <xf numFmtId="228" fontId="6" fillId="0" borderId="0" xfId="13" applyNumberFormat="1" applyFont="1" applyFill="1" applyBorder="1" applyAlignment="1" applyProtection="1">
      <alignment horizontal="left" vertical="center"/>
    </xf>
    <xf numFmtId="49" fontId="6" fillId="6" borderId="0" xfId="13" applyNumberFormat="1" applyFont="1" applyFill="1" applyBorder="1" applyAlignment="1" applyProtection="1">
      <alignment horizontal="right" vertical="center"/>
    </xf>
    <xf numFmtId="0" fontId="6" fillId="0" borderId="0" xfId="13" applyFont="1" applyBorder="1" applyAlignment="1" applyProtection="1">
      <alignment vertical="center"/>
      <protection hidden="1"/>
    </xf>
    <xf numFmtId="0" fontId="5" fillId="7" borderId="0" xfId="13" applyFont="1" applyFill="1" applyBorder="1" applyAlignment="1" applyProtection="1">
      <alignment horizontal="center" vertical="center"/>
    </xf>
    <xf numFmtId="0" fontId="5" fillId="7" borderId="0" xfId="13" applyFont="1" applyFill="1" applyBorder="1" applyAlignment="1" applyProtection="1">
      <alignment horizontal="center" vertical="center"/>
      <protection hidden="1"/>
    </xf>
    <xf numFmtId="0" fontId="6" fillId="6" borderId="0" xfId="13" applyFont="1" applyFill="1" applyAlignment="1" applyProtection="1">
      <alignment horizontal="right" vertical="center" indent="1"/>
      <protection hidden="1"/>
    </xf>
    <xf numFmtId="0" fontId="5" fillId="0" borderId="0" xfId="13" applyFont="1" applyAlignment="1" applyProtection="1">
      <alignment horizontal="left" vertical="center" indent="1"/>
    </xf>
    <xf numFmtId="0" fontId="5" fillId="0" borderId="0" xfId="13" applyFont="1" applyAlignment="1" applyProtection="1">
      <alignment vertical="top"/>
      <protection hidden="1"/>
    </xf>
    <xf numFmtId="0" fontId="13" fillId="17" borderId="0" xfId="13" applyFont="1" applyFill="1" applyAlignment="1" applyProtection="1">
      <alignment horizontal="left" vertical="center" indent="1"/>
      <protection locked="0" hidden="1"/>
    </xf>
    <xf numFmtId="0" fontId="40" fillId="18" borderId="27" xfId="15" applyFill="1" applyBorder="1"/>
    <xf numFmtId="0" fontId="40" fillId="18" borderId="28" xfId="15" applyFill="1" applyBorder="1" applyProtection="1"/>
    <xf numFmtId="0" fontId="46" fillId="18" borderId="29" xfId="15" applyFont="1" applyFill="1" applyBorder="1"/>
    <xf numFmtId="0" fontId="46" fillId="0" borderId="0" xfId="15" applyFont="1"/>
    <xf numFmtId="0" fontId="40" fillId="0" borderId="0" xfId="15"/>
    <xf numFmtId="0" fontId="40" fillId="18" borderId="30" xfId="15" applyFill="1" applyBorder="1"/>
    <xf numFmtId="0" fontId="40" fillId="18" borderId="0" xfId="15" applyFill="1" applyBorder="1" applyAlignment="1" applyProtection="1">
      <alignment horizontal="right" vertical="center" indent="1"/>
    </xf>
    <xf numFmtId="0" fontId="40" fillId="18" borderId="0" xfId="15" applyFill="1" applyBorder="1" applyAlignment="1" applyProtection="1">
      <alignment horizontal="center" vertical="center"/>
    </xf>
    <xf numFmtId="0" fontId="46" fillId="18" borderId="31" xfId="15" applyFont="1" applyFill="1" applyBorder="1"/>
    <xf numFmtId="233" fontId="40" fillId="19" borderId="0" xfId="15" applyNumberFormat="1" applyFill="1" applyBorder="1" applyAlignment="1" applyProtection="1">
      <alignment horizontal="center" vertical="center"/>
      <protection locked="0"/>
    </xf>
    <xf numFmtId="213" fontId="40" fillId="20" borderId="0" xfId="15" applyNumberFormat="1" applyFill="1" applyBorder="1" applyAlignment="1" applyProtection="1">
      <alignment horizontal="center" vertical="center"/>
    </xf>
    <xf numFmtId="0" fontId="40" fillId="18" borderId="0" xfId="15" applyFill="1" applyBorder="1" applyAlignment="1" applyProtection="1">
      <alignment horizontal="right" vertical="center" wrapText="1" indent="1"/>
    </xf>
    <xf numFmtId="235" fontId="40" fillId="20" borderId="0" xfId="15" applyNumberFormat="1" applyFill="1" applyBorder="1" applyAlignment="1" applyProtection="1">
      <alignment horizontal="right" vertical="center" indent="1"/>
    </xf>
    <xf numFmtId="0" fontId="40" fillId="18" borderId="0" xfId="15" applyFill="1" applyBorder="1" applyProtection="1"/>
    <xf numFmtId="9" fontId="40" fillId="18" borderId="0" xfId="12" applyFont="1" applyFill="1" applyBorder="1" applyProtection="1"/>
    <xf numFmtId="0" fontId="46" fillId="21" borderId="0" xfId="15" applyFont="1" applyFill="1" applyBorder="1" applyAlignment="1" applyProtection="1">
      <alignment horizontal="center" vertical="center"/>
      <protection locked="0"/>
    </xf>
    <xf numFmtId="214" fontId="40" fillId="20" borderId="0" xfId="15" applyNumberFormat="1" applyFill="1" applyBorder="1" applyAlignment="1" applyProtection="1">
      <alignment horizontal="right" vertical="center" indent="1"/>
    </xf>
    <xf numFmtId="0" fontId="40" fillId="18" borderId="0" xfId="15" applyFill="1" applyBorder="1" applyAlignment="1" applyProtection="1">
      <alignment horizontal="left" vertical="center" indent="1"/>
    </xf>
    <xf numFmtId="0" fontId="40" fillId="18" borderId="0" xfId="15" applyFont="1" applyFill="1" applyBorder="1" applyAlignment="1" applyProtection="1">
      <alignment horizontal="center" vertical="top"/>
    </xf>
    <xf numFmtId="0" fontId="40" fillId="18" borderId="0" xfId="15" applyFill="1" applyBorder="1" applyAlignment="1" applyProtection="1">
      <alignment horizontal="right" indent="1"/>
    </xf>
    <xf numFmtId="0" fontId="40" fillId="18" borderId="0" xfId="15" applyFill="1" applyBorder="1" applyAlignment="1" applyProtection="1">
      <alignment horizontal="center"/>
    </xf>
    <xf numFmtId="214" fontId="40" fillId="22" borderId="0" xfId="6" applyNumberFormat="1" applyFont="1" applyFill="1" applyBorder="1" applyAlignment="1" applyProtection="1">
      <alignment horizontal="right" vertical="center" indent="1"/>
    </xf>
    <xf numFmtId="237" fontId="40" fillId="20" borderId="0" xfId="15" applyNumberFormat="1" applyFill="1" applyBorder="1" applyAlignment="1" applyProtection="1">
      <alignment horizontal="left" vertical="center" indent="1"/>
    </xf>
    <xf numFmtId="0" fontId="40" fillId="19" borderId="0" xfId="15" applyFill="1" applyBorder="1" applyAlignment="1" applyProtection="1">
      <alignment horizontal="center" vertical="center"/>
      <protection locked="0"/>
    </xf>
    <xf numFmtId="237" fontId="40" fillId="20" borderId="0" xfId="15" applyNumberFormat="1" applyFill="1" applyBorder="1" applyAlignment="1" applyProtection="1">
      <alignment horizontal="left" indent="1"/>
    </xf>
    <xf numFmtId="0" fontId="40" fillId="20" borderId="0" xfId="15" applyFill="1" applyBorder="1" applyAlignment="1" applyProtection="1">
      <alignment horizontal="center" vertical="center"/>
    </xf>
    <xf numFmtId="238" fontId="40" fillId="20" borderId="0" xfId="6" applyNumberFormat="1" applyFont="1" applyFill="1" applyBorder="1" applyAlignment="1" applyProtection="1">
      <alignment horizontal="left" indent="1"/>
    </xf>
    <xf numFmtId="214" fontId="40" fillId="18" borderId="0" xfId="15" applyNumberFormat="1" applyFill="1" applyBorder="1" applyAlignment="1" applyProtection="1">
      <alignment horizontal="right" vertical="center" indent="1"/>
    </xf>
    <xf numFmtId="0" fontId="40" fillId="20" borderId="0" xfId="15" applyFill="1" applyBorder="1" applyAlignment="1" applyProtection="1">
      <alignment horizontal="center"/>
    </xf>
    <xf numFmtId="0" fontId="40" fillId="18" borderId="0" xfId="15" applyNumberFormat="1" applyFill="1" applyBorder="1" applyAlignment="1" applyProtection="1">
      <alignment horizontal="center"/>
    </xf>
    <xf numFmtId="0" fontId="40" fillId="18" borderId="32" xfId="15" applyFill="1" applyBorder="1"/>
    <xf numFmtId="0" fontId="40" fillId="18" borderId="33" xfId="15" applyFill="1" applyBorder="1" applyAlignment="1" applyProtection="1">
      <alignment horizontal="right" vertical="center" indent="1"/>
    </xf>
    <xf numFmtId="0" fontId="40" fillId="18" borderId="33" xfId="15" applyFill="1" applyBorder="1" applyProtection="1"/>
    <xf numFmtId="0" fontId="46" fillId="18" borderId="34" xfId="15" applyFont="1" applyFill="1" applyBorder="1"/>
    <xf numFmtId="0" fontId="40" fillId="0" borderId="0" xfId="15" applyFill="1" applyBorder="1"/>
    <xf numFmtId="0" fontId="46" fillId="0" borderId="0" xfId="15" applyFont="1" applyFill="1" applyBorder="1"/>
    <xf numFmtId="0" fontId="40" fillId="0" borderId="0" xfId="15" applyFill="1" applyBorder="1" applyAlignment="1">
      <alignment horizontal="right" vertical="center" indent="1"/>
    </xf>
    <xf numFmtId="0" fontId="40" fillId="0" borderId="0" xfId="15" applyFill="1" applyBorder="1" applyAlignment="1">
      <alignment horizontal="left" vertical="center" indent="1"/>
    </xf>
    <xf numFmtId="0" fontId="40" fillId="0" borderId="0" xfId="15" applyAlignment="1">
      <alignment horizontal="left" vertical="center" indent="1"/>
    </xf>
    <xf numFmtId="0" fontId="35" fillId="0" borderId="0" xfId="13" applyFont="1"/>
    <xf numFmtId="0" fontId="4" fillId="0" borderId="0" xfId="13" applyFont="1"/>
    <xf numFmtId="0" fontId="3" fillId="6" borderId="0" xfId="13" applyFont="1" applyFill="1"/>
    <xf numFmtId="0" fontId="3" fillId="0" borderId="0" xfId="13" applyFont="1"/>
    <xf numFmtId="0" fontId="17" fillId="6" borderId="0" xfId="13" applyFont="1" applyFill="1"/>
    <xf numFmtId="0" fontId="3" fillId="0" borderId="0" xfId="13" applyFont="1" applyFill="1" applyAlignment="1">
      <alignment horizontal="right" vertical="center" indent="1"/>
    </xf>
    <xf numFmtId="232" fontId="3" fillId="0" borderId="0" xfId="5" applyNumberFormat="1" applyFont="1" applyFill="1"/>
    <xf numFmtId="0" fontId="3" fillId="0" borderId="0" xfId="13" applyFont="1" applyFill="1"/>
    <xf numFmtId="2" fontId="4" fillId="0" borderId="0" xfId="13" applyNumberFormat="1" applyFont="1"/>
    <xf numFmtId="1" fontId="4" fillId="0" borderId="0" xfId="13" applyNumberFormat="1" applyFont="1"/>
    <xf numFmtId="0" fontId="17" fillId="0" borderId="0" xfId="13" applyFont="1" applyAlignment="1">
      <alignment horizontal="right" vertical="center" indent="1"/>
    </xf>
    <xf numFmtId="0" fontId="17" fillId="0" borderId="0" xfId="13" applyFont="1"/>
    <xf numFmtId="193" fontId="36" fillId="6" borderId="0" xfId="5" applyNumberFormat="1" applyFont="1" applyFill="1"/>
    <xf numFmtId="216" fontId="4" fillId="0" borderId="0" xfId="13" applyNumberFormat="1"/>
    <xf numFmtId="9" fontId="4" fillId="0" borderId="0" xfId="13" applyNumberFormat="1" applyFont="1"/>
    <xf numFmtId="171" fontId="4" fillId="0" borderId="0" xfId="13" applyNumberFormat="1" applyFont="1"/>
    <xf numFmtId="0" fontId="37" fillId="6" borderId="0" xfId="13" applyFont="1" applyFill="1"/>
    <xf numFmtId="0" fontId="38" fillId="6" borderId="0" xfId="13" applyFont="1" applyFill="1"/>
    <xf numFmtId="0" fontId="38" fillId="6" borderId="0" xfId="13" applyFont="1" applyFill="1" applyAlignment="1">
      <alignment horizontal="right" vertical="center" indent="1"/>
    </xf>
    <xf numFmtId="0" fontId="46" fillId="0" borderId="0" xfId="15" applyFont="1" applyBorder="1" applyProtection="1"/>
    <xf numFmtId="0" fontId="47" fillId="0" borderId="0" xfId="15" applyFont="1" applyBorder="1" applyProtection="1"/>
    <xf numFmtId="0" fontId="47" fillId="0" borderId="0" xfId="15" applyFont="1" applyBorder="1" applyAlignment="1" applyProtection="1"/>
    <xf numFmtId="0" fontId="46" fillId="0" borderId="0" xfId="15" applyFont="1" applyProtection="1"/>
    <xf numFmtId="0" fontId="46" fillId="0" borderId="0" xfId="15" applyFont="1" applyBorder="1" applyAlignment="1" applyProtection="1">
      <alignment wrapText="1"/>
    </xf>
    <xf numFmtId="0" fontId="47" fillId="0" borderId="0" xfId="15" applyFont="1" applyBorder="1" applyAlignment="1" applyProtection="1">
      <alignment vertical="top"/>
    </xf>
    <xf numFmtId="0" fontId="47" fillId="0" borderId="0" xfId="15" applyFont="1" applyBorder="1" applyAlignment="1" applyProtection="1">
      <alignment vertical="top" wrapText="1"/>
    </xf>
    <xf numFmtId="0" fontId="47" fillId="0" borderId="0" xfId="15" applyFont="1" applyFill="1" applyBorder="1" applyAlignment="1" applyProtection="1">
      <alignment wrapText="1"/>
    </xf>
    <xf numFmtId="0" fontId="46" fillId="0" borderId="0" xfId="15" applyNumberFormat="1" applyFont="1" applyBorder="1" applyProtection="1"/>
    <xf numFmtId="183" fontId="46" fillId="0" borderId="0" xfId="15" applyNumberFormat="1" applyFont="1" applyBorder="1" applyProtection="1"/>
    <xf numFmtId="0" fontId="46" fillId="0" borderId="0" xfId="15" applyFont="1" applyBorder="1" applyAlignment="1" applyProtection="1">
      <alignment horizontal="center"/>
    </xf>
    <xf numFmtId="0" fontId="46" fillId="0" borderId="0" xfId="15" applyFont="1" applyFill="1" applyBorder="1" applyProtection="1"/>
    <xf numFmtId="199" fontId="46" fillId="0" borderId="0" xfId="15" applyNumberFormat="1" applyFont="1" applyBorder="1" applyProtection="1"/>
    <xf numFmtId="0" fontId="48" fillId="0" borderId="0" xfId="15" applyFont="1" applyBorder="1" applyProtection="1"/>
    <xf numFmtId="199" fontId="46" fillId="0" borderId="0" xfId="15" applyNumberFormat="1" applyFont="1" applyFill="1" applyBorder="1" applyProtection="1"/>
    <xf numFmtId="2" fontId="46" fillId="0" borderId="0" xfId="15" applyNumberFormat="1" applyFont="1" applyBorder="1" applyProtection="1"/>
    <xf numFmtId="1" fontId="46" fillId="0" borderId="0" xfId="15" applyNumberFormat="1" applyFont="1" applyBorder="1" applyProtection="1"/>
    <xf numFmtId="0" fontId="48" fillId="0" borderId="0" xfId="15" applyFont="1" applyFill="1" applyBorder="1" applyProtection="1"/>
    <xf numFmtId="0" fontId="47" fillId="0" borderId="0" xfId="15" applyFont="1" applyBorder="1" applyAlignment="1" applyProtection="1">
      <alignment wrapText="1"/>
    </xf>
    <xf numFmtId="0" fontId="46" fillId="0" borderId="0" xfId="15" applyFont="1" applyBorder="1" applyAlignment="1" applyProtection="1">
      <alignment horizontal="center" vertical="center"/>
    </xf>
    <xf numFmtId="0" fontId="46" fillId="0" borderId="0" xfId="15" applyFont="1" applyFill="1" applyBorder="1" applyAlignment="1" applyProtection="1">
      <alignment horizontal="center" vertical="center"/>
    </xf>
    <xf numFmtId="0" fontId="40" fillId="18" borderId="0" xfId="15" applyFill="1" applyBorder="1" applyAlignment="1" applyProtection="1">
      <alignment horizontal="center" vertical="center" wrapText="1"/>
    </xf>
    <xf numFmtId="239" fontId="46" fillId="0" borderId="0" xfId="15" applyNumberFormat="1" applyFont="1" applyBorder="1" applyProtection="1"/>
    <xf numFmtId="240" fontId="46" fillId="0" borderId="0" xfId="15" applyNumberFormat="1" applyFont="1" applyBorder="1" applyProtection="1"/>
    <xf numFmtId="49" fontId="46" fillId="0" borderId="0" xfId="15" applyNumberFormat="1" applyFont="1" applyBorder="1" applyProtection="1"/>
    <xf numFmtId="234" fontId="40" fillId="20" borderId="0" xfId="6" applyNumberFormat="1" applyFont="1" applyFill="1" applyBorder="1" applyAlignment="1" applyProtection="1">
      <alignment horizontal="center" vertical="center" wrapText="1"/>
    </xf>
    <xf numFmtId="0" fontId="40" fillId="18" borderId="0" xfId="15" applyFont="1" applyFill="1" applyBorder="1" applyAlignment="1" applyProtection="1">
      <alignment horizontal="right" vertical="center" indent="1"/>
    </xf>
    <xf numFmtId="14" fontId="49" fillId="0" borderId="0" xfId="15" applyNumberFormat="1" applyFont="1" applyFill="1" applyBorder="1" applyAlignment="1" applyProtection="1">
      <alignment horizontal="center" vertical="top"/>
    </xf>
    <xf numFmtId="214" fontId="40" fillId="18" borderId="0" xfId="15" applyNumberFormat="1" applyFont="1" applyFill="1" applyBorder="1" applyAlignment="1" applyProtection="1">
      <alignment horizontal="center" vertical="top"/>
    </xf>
    <xf numFmtId="0" fontId="4" fillId="0" borderId="0" xfId="13" applyAlignment="1" applyProtection="1">
      <alignment wrapText="1"/>
    </xf>
    <xf numFmtId="0" fontId="17" fillId="0" borderId="0" xfId="13" applyFont="1" applyAlignment="1">
      <alignment vertical="center"/>
    </xf>
    <xf numFmtId="214" fontId="46" fillId="0" borderId="0" xfId="15" applyNumberFormat="1" applyFont="1" applyProtection="1"/>
    <xf numFmtId="49" fontId="46" fillId="0" borderId="0" xfId="15" applyNumberFormat="1" applyFont="1" applyProtection="1"/>
    <xf numFmtId="0" fontId="46" fillId="0" borderId="0" xfId="15" applyFont="1" applyBorder="1" applyAlignment="1" applyProtection="1">
      <alignment horizontal="left"/>
    </xf>
    <xf numFmtId="172" fontId="46" fillId="14" borderId="0" xfId="4" applyNumberFormat="1" applyFont="1" applyFill="1" applyBorder="1" applyProtection="1"/>
    <xf numFmtId="0" fontId="46" fillId="0" borderId="0" xfId="15" applyNumberFormat="1" applyFont="1" applyProtection="1"/>
    <xf numFmtId="0" fontId="50" fillId="0" borderId="0" xfId="15" applyFont="1" applyBorder="1" applyAlignment="1" applyProtection="1">
      <alignment horizontal="center" vertical="center" wrapText="1"/>
    </xf>
    <xf numFmtId="0" fontId="46" fillId="0" borderId="0" xfId="15" applyFont="1" applyAlignment="1" applyProtection="1">
      <alignment horizontal="center" vertical="center"/>
    </xf>
    <xf numFmtId="0" fontId="46" fillId="0" borderId="35" xfId="15" applyFont="1" applyFill="1" applyBorder="1" applyProtection="1"/>
    <xf numFmtId="0" fontId="46" fillId="0" borderId="36" xfId="15" applyFont="1" applyFill="1" applyBorder="1" applyProtection="1"/>
    <xf numFmtId="0" fontId="8" fillId="0" borderId="0" xfId="15" applyFont="1" applyProtection="1"/>
    <xf numFmtId="0" fontId="46" fillId="0" borderId="0" xfId="0" applyFont="1" applyProtection="1"/>
    <xf numFmtId="0" fontId="0" fillId="0" borderId="0" xfId="0" applyProtection="1"/>
    <xf numFmtId="1" fontId="0" fillId="0" borderId="0" xfId="0" applyNumberFormat="1" applyProtection="1"/>
    <xf numFmtId="43" fontId="40" fillId="0" borderId="0" xfId="4" applyFont="1" applyProtection="1"/>
    <xf numFmtId="2" fontId="0" fillId="0" borderId="0" xfId="0" applyNumberFormat="1" applyProtection="1"/>
    <xf numFmtId="172" fontId="40" fillId="0" borderId="0" xfId="4" applyNumberFormat="1" applyFont="1" applyProtection="1"/>
    <xf numFmtId="0" fontId="4" fillId="0" borderId="0" xfId="13" applyProtection="1"/>
    <xf numFmtId="167" fontId="0" fillId="0" borderId="0" xfId="0" applyNumberFormat="1" applyProtection="1"/>
    <xf numFmtId="172" fontId="0" fillId="0" borderId="0" xfId="0" applyNumberFormat="1" applyProtection="1"/>
    <xf numFmtId="218" fontId="0" fillId="0" borderId="0" xfId="0" applyNumberFormat="1" applyProtection="1"/>
    <xf numFmtId="0" fontId="0" fillId="0" borderId="0" xfId="0" applyAlignment="1" applyProtection="1">
      <alignment horizontal="right"/>
    </xf>
    <xf numFmtId="164" fontId="0" fillId="0" borderId="0" xfId="0" applyNumberFormat="1" applyProtection="1"/>
    <xf numFmtId="165" fontId="0" fillId="0" borderId="0" xfId="0" applyNumberFormat="1" applyProtection="1"/>
    <xf numFmtId="168" fontId="40" fillId="0" borderId="0" xfId="9" applyNumberFormat="1" applyFont="1" applyProtection="1"/>
    <xf numFmtId="9" fontId="40" fillId="0" borderId="0" xfId="9" applyFont="1" applyProtection="1"/>
    <xf numFmtId="9" fontId="0" fillId="0" borderId="0" xfId="0" applyNumberFormat="1" applyProtection="1"/>
    <xf numFmtId="44" fontId="4" fillId="0" borderId="0" xfId="16" applyFont="1" applyProtection="1"/>
    <xf numFmtId="0" fontId="0" fillId="0" borderId="0" xfId="0" applyAlignment="1" applyProtection="1">
      <alignment wrapText="1"/>
    </xf>
    <xf numFmtId="173" fontId="40" fillId="0" borderId="0" xfId="16" applyNumberFormat="1" applyFont="1" applyProtection="1"/>
    <xf numFmtId="10" fontId="0" fillId="0" borderId="0" xfId="0" applyNumberFormat="1" applyProtection="1"/>
    <xf numFmtId="0" fontId="0" fillId="0" borderId="0" xfId="0" applyAlignment="1" applyProtection="1">
      <alignment horizontal="left" wrapText="1"/>
    </xf>
    <xf numFmtId="169" fontId="0" fillId="0" borderId="0" xfId="0" applyNumberFormat="1" applyProtection="1"/>
    <xf numFmtId="43" fontId="40" fillId="0" borderId="0" xfId="4" applyNumberFormat="1" applyFont="1" applyProtection="1"/>
    <xf numFmtId="44" fontId="4" fillId="0" borderId="0" xfId="13" applyNumberFormat="1" applyProtection="1"/>
    <xf numFmtId="49" fontId="4" fillId="0" borderId="0" xfId="13" applyNumberFormat="1" applyProtection="1"/>
    <xf numFmtId="222" fontId="0" fillId="0" borderId="0" xfId="0" applyNumberFormat="1" applyProtection="1"/>
    <xf numFmtId="42" fontId="40" fillId="0" borderId="0" xfId="16" applyNumberFormat="1" applyFont="1" applyProtection="1"/>
    <xf numFmtId="167" fontId="40" fillId="0" borderId="0" xfId="9" applyNumberFormat="1" applyFont="1" applyProtection="1"/>
    <xf numFmtId="166" fontId="0" fillId="0" borderId="0" xfId="0" applyNumberFormat="1" applyProtection="1"/>
    <xf numFmtId="0" fontId="0" fillId="0" borderId="0" xfId="0" applyAlignment="1" applyProtection="1">
      <alignment horizontal="right" vertical="center"/>
    </xf>
    <xf numFmtId="164" fontId="0" fillId="0" borderId="0" xfId="0" applyNumberFormat="1" applyAlignment="1" applyProtection="1"/>
    <xf numFmtId="166" fontId="0" fillId="23" borderId="0" xfId="0" applyNumberFormat="1" applyFill="1" applyProtection="1"/>
    <xf numFmtId="166" fontId="0" fillId="24" borderId="0" xfId="0" applyNumberFormat="1" applyFill="1" applyProtection="1"/>
    <xf numFmtId="166" fontId="0" fillId="0" borderId="0" xfId="0" applyNumberFormat="1" applyAlignment="1" applyProtection="1"/>
    <xf numFmtId="171" fontId="40" fillId="0" borderId="0" xfId="9" applyNumberFormat="1" applyFont="1" applyProtection="1"/>
    <xf numFmtId="170" fontId="0" fillId="0" borderId="0" xfId="0" applyNumberFormat="1" applyAlignment="1" applyProtection="1"/>
    <xf numFmtId="10" fontId="40" fillId="0" borderId="0" xfId="9" applyNumberFormat="1" applyFont="1" applyProtection="1"/>
    <xf numFmtId="0" fontId="40" fillId="0" borderId="0" xfId="4" applyNumberFormat="1" applyFont="1" applyProtection="1"/>
    <xf numFmtId="241" fontId="3" fillId="25" borderId="0" xfId="17" applyNumberFormat="1" applyFont="1" applyFill="1" applyBorder="1" applyAlignment="1" applyProtection="1">
      <alignment horizontal="right" vertical="center" indent="1"/>
    </xf>
    <xf numFmtId="0" fontId="46" fillId="23" borderId="0" xfId="15" applyFont="1" applyFill="1" applyBorder="1" applyProtection="1"/>
    <xf numFmtId="0" fontId="40" fillId="18" borderId="0" xfId="15" applyFont="1" applyFill="1" applyBorder="1" applyAlignment="1" applyProtection="1">
      <alignment horizontal="right" vertical="center" wrapText="1" indent="1"/>
    </xf>
    <xf numFmtId="0" fontId="40" fillId="19" borderId="0" xfId="15" applyFont="1" applyFill="1" applyBorder="1" applyAlignment="1" applyProtection="1">
      <alignment horizontal="center" vertical="center"/>
      <protection locked="0"/>
    </xf>
    <xf numFmtId="0" fontId="40" fillId="18" borderId="0" xfId="15" applyFont="1" applyFill="1" applyBorder="1" applyProtection="1"/>
    <xf numFmtId="0" fontId="40" fillId="18" borderId="37" xfId="15" applyFill="1" applyBorder="1" applyProtection="1"/>
    <xf numFmtId="0" fontId="40" fillId="18" borderId="38" xfId="15" applyFill="1" applyBorder="1" applyAlignment="1" applyProtection="1">
      <alignment horizontal="left" vertical="center" indent="1"/>
    </xf>
    <xf numFmtId="0" fontId="40" fillId="18" borderId="0" xfId="15" applyFont="1" applyFill="1" applyBorder="1" applyAlignment="1" applyProtection="1">
      <alignment horizontal="left" vertical="center" indent="1"/>
    </xf>
    <xf numFmtId="0" fontId="40" fillId="18" borderId="38" xfId="15" applyFont="1" applyFill="1" applyBorder="1" applyAlignment="1" applyProtection="1">
      <alignment horizontal="left" vertical="center" indent="1"/>
    </xf>
    <xf numFmtId="0" fontId="40" fillId="18" borderId="0" xfId="15" applyFill="1" applyBorder="1"/>
    <xf numFmtId="0" fontId="40" fillId="20" borderId="0" xfId="15" applyFill="1" applyBorder="1" applyAlignment="1" applyProtection="1">
      <alignment vertical="center"/>
    </xf>
    <xf numFmtId="0" fontId="40" fillId="20" borderId="0" xfId="15" applyFont="1" applyFill="1" applyBorder="1" applyAlignment="1" applyProtection="1">
      <alignment horizontal="left" vertical="center" indent="1"/>
    </xf>
    <xf numFmtId="0" fontId="46" fillId="0" borderId="0" xfId="15" applyNumberFormat="1" applyFont="1" applyFill="1" applyProtection="1"/>
    <xf numFmtId="0" fontId="3" fillId="15" borderId="0" xfId="13" applyFont="1" applyFill="1"/>
    <xf numFmtId="0" fontId="38" fillId="0" borderId="0" xfId="13" applyFont="1"/>
    <xf numFmtId="0" fontId="37" fillId="6" borderId="0" xfId="13" applyFont="1" applyFill="1" applyAlignment="1">
      <alignment horizontal="right" vertical="center" indent="1"/>
    </xf>
    <xf numFmtId="180" fontId="37" fillId="6" borderId="0" xfId="5" applyNumberFormat="1" applyFont="1" applyFill="1" applyAlignment="1">
      <alignment vertical="center"/>
    </xf>
    <xf numFmtId="0" fontId="37" fillId="6" borderId="0" xfId="13" applyFont="1" applyFill="1" applyAlignment="1">
      <alignment vertical="center"/>
    </xf>
    <xf numFmtId="0" fontId="37" fillId="0" borderId="0" xfId="13" applyFont="1" applyAlignment="1">
      <alignment horizontal="right" vertical="center" indent="1"/>
    </xf>
    <xf numFmtId="0" fontId="37" fillId="0" borderId="0" xfId="13" applyFont="1" applyAlignment="1">
      <alignment vertical="center"/>
    </xf>
    <xf numFmtId="176" fontId="37" fillId="6" borderId="0" xfId="3" applyNumberFormat="1" applyFont="1" applyFill="1" applyAlignment="1">
      <alignment vertical="center"/>
    </xf>
    <xf numFmtId="0" fontId="37" fillId="6" borderId="0" xfId="13" applyFont="1" applyFill="1" applyAlignment="1">
      <alignment horizontal="left" vertical="center" indent="1"/>
    </xf>
    <xf numFmtId="0" fontId="38" fillId="6" borderId="0" xfId="13" applyFont="1" applyFill="1" applyAlignment="1">
      <alignment horizontal="center" vertical="center"/>
    </xf>
    <xf numFmtId="0" fontId="3" fillId="0" borderId="0" xfId="13" applyFont="1" applyAlignment="1">
      <alignment horizontal="center" vertical="center"/>
    </xf>
    <xf numFmtId="232" fontId="37" fillId="6" borderId="0" xfId="5" applyNumberFormat="1" applyFont="1" applyFill="1" applyAlignment="1">
      <alignment horizontal="center" vertical="center"/>
    </xf>
    <xf numFmtId="176" fontId="38" fillId="6" borderId="0" xfId="3" applyNumberFormat="1" applyFont="1" applyFill="1" applyAlignment="1">
      <alignment horizontal="center" vertical="center"/>
    </xf>
    <xf numFmtId="181" fontId="38" fillId="15" borderId="0" xfId="13" applyNumberFormat="1" applyFont="1" applyFill="1" applyAlignment="1">
      <alignment horizontal="center" vertical="center"/>
    </xf>
    <xf numFmtId="0" fontId="3" fillId="0" borderId="0" xfId="13" applyFont="1" applyFill="1" applyBorder="1" applyAlignment="1" applyProtection="1">
      <alignment horizontal="center" vertical="center"/>
      <protection locked="0"/>
    </xf>
    <xf numFmtId="213" fontId="40" fillId="19" borderId="0" xfId="15" applyNumberFormat="1" applyFont="1" applyFill="1" applyBorder="1" applyAlignment="1" applyProtection="1">
      <alignment horizontal="center" vertical="center"/>
      <protection locked="0"/>
    </xf>
    <xf numFmtId="242" fontId="40" fillId="18" borderId="0" xfId="15" applyNumberFormat="1" applyFill="1" applyBorder="1" applyAlignment="1" applyProtection="1">
      <alignment vertical="center"/>
    </xf>
    <xf numFmtId="236" fontId="40" fillId="18" borderId="0" xfId="15" applyNumberFormat="1" applyFill="1" applyBorder="1" applyAlignment="1" applyProtection="1">
      <alignment horizontal="left" vertical="center" indent="1"/>
    </xf>
    <xf numFmtId="0" fontId="40" fillId="18" borderId="0" xfId="15" applyFill="1" applyBorder="1" applyAlignment="1" applyProtection="1">
      <alignment horizontal="right" vertical="center" indent="1"/>
    </xf>
    <xf numFmtId="0" fontId="40" fillId="20" borderId="0" xfId="15" applyFill="1" applyBorder="1" applyAlignment="1" applyProtection="1">
      <alignment horizontal="right" vertical="center" indent="1"/>
    </xf>
    <xf numFmtId="0" fontId="40" fillId="18" borderId="38" xfId="15" applyFill="1" applyBorder="1" applyProtection="1"/>
    <xf numFmtId="0" fontId="40" fillId="18" borderId="38" xfId="15" applyFill="1" applyBorder="1" applyAlignment="1" applyProtection="1">
      <alignment horizontal="right" vertical="center" indent="1"/>
    </xf>
    <xf numFmtId="0" fontId="46" fillId="0" borderId="0" xfId="15" applyFont="1" applyBorder="1" applyProtection="1">
      <protection locked="0"/>
    </xf>
    <xf numFmtId="1" fontId="46" fillId="0" borderId="0" xfId="15" applyNumberFormat="1" applyFont="1" applyFill="1" applyBorder="1" applyProtection="1"/>
    <xf numFmtId="0" fontId="3" fillId="0" borderId="0" xfId="13" applyFont="1" applyFill="1" applyBorder="1" applyAlignment="1" applyProtection="1">
      <alignment horizontal="right" vertical="center" indent="1"/>
      <protection locked="0" hidden="1"/>
    </xf>
    <xf numFmtId="198" fontId="6" fillId="26" borderId="0" xfId="3" applyNumberFormat="1" applyFont="1" applyFill="1" applyBorder="1" applyAlignment="1" applyProtection="1">
      <alignment horizontal="right" vertical="center" indent="1"/>
      <protection locked="0"/>
    </xf>
    <xf numFmtId="210" fontId="3" fillId="0" borderId="0" xfId="0" applyNumberFormat="1" applyFont="1" applyFill="1" applyBorder="1" applyProtection="1">
      <protection hidden="1"/>
    </xf>
    <xf numFmtId="43" fontId="3" fillId="0" borderId="0" xfId="4" applyNumberFormat="1" applyFont="1" applyFill="1" applyBorder="1" applyProtection="1">
      <protection hidden="1"/>
    </xf>
    <xf numFmtId="9" fontId="40" fillId="20" borderId="0" xfId="12" applyFont="1" applyFill="1" applyBorder="1" applyAlignment="1" applyProtection="1">
      <alignment horizontal="center" vertical="center" wrapText="1"/>
    </xf>
    <xf numFmtId="0" fontId="3" fillId="0" borderId="0" xfId="13" applyFont="1" applyFill="1" applyBorder="1" applyAlignment="1" applyProtection="1">
      <alignment horizontal="right" vertical="center" indent="1"/>
      <protection hidden="1"/>
    </xf>
    <xf numFmtId="0" fontId="3" fillId="0" borderId="0" xfId="13" applyFont="1" applyFill="1" applyBorder="1" applyAlignment="1" applyProtection="1">
      <alignment horizontal="right" vertical="center" indent="1"/>
    </xf>
    <xf numFmtId="0" fontId="12" fillId="0" borderId="0" xfId="13" applyFont="1" applyFill="1" applyBorder="1" applyAlignment="1" applyProtection="1">
      <alignment vertical="center"/>
      <protection hidden="1"/>
    </xf>
    <xf numFmtId="0" fontId="12" fillId="0" borderId="0" xfId="13" applyFont="1" applyFill="1" applyBorder="1" applyProtection="1">
      <protection hidden="1"/>
    </xf>
    <xf numFmtId="171" fontId="0" fillId="0" borderId="0" xfId="9" applyNumberFormat="1" applyFont="1" applyProtection="1"/>
    <xf numFmtId="229" fontId="6" fillId="6" borderId="0" xfId="13" applyNumberFormat="1" applyFont="1" applyFill="1" applyBorder="1" applyAlignment="1" applyProtection="1">
      <alignment horizontal="left" vertical="center"/>
      <protection hidden="1"/>
    </xf>
    <xf numFmtId="0" fontId="13" fillId="9" borderId="0" xfId="13" applyFont="1" applyFill="1" applyBorder="1" applyAlignment="1" applyProtection="1">
      <alignment horizontal="center" vertical="center"/>
      <protection locked="0" hidden="1"/>
    </xf>
    <xf numFmtId="0" fontId="13" fillId="17" borderId="0" xfId="13" applyFont="1" applyFill="1" applyBorder="1" applyAlignment="1" applyProtection="1">
      <alignment horizontal="center" vertical="center"/>
      <protection locked="0" hidden="1"/>
    </xf>
    <xf numFmtId="0" fontId="13" fillId="9" borderId="0" xfId="13" applyFont="1" applyFill="1" applyBorder="1" applyAlignment="1" applyProtection="1">
      <alignment horizontal="center" vertical="center"/>
      <protection hidden="1"/>
    </xf>
    <xf numFmtId="0" fontId="6" fillId="5" borderId="0" xfId="13" applyFont="1" applyFill="1" applyBorder="1" applyAlignment="1" applyProtection="1">
      <alignment horizontal="left" vertical="center" indent="1"/>
      <protection locked="0"/>
    </xf>
    <xf numFmtId="0" fontId="6" fillId="6" borderId="0" xfId="13" applyFont="1" applyFill="1" applyAlignment="1" applyProtection="1">
      <alignment horizontal="right" vertical="center" indent="1"/>
      <protection hidden="1"/>
    </xf>
    <xf numFmtId="0" fontId="5" fillId="0" borderId="0" xfId="13" applyFont="1" applyAlignment="1">
      <alignment horizontal="right" vertical="center" indent="1"/>
    </xf>
    <xf numFmtId="0" fontId="5" fillId="0" borderId="0" xfId="13" applyFont="1" applyAlignment="1" applyProtection="1">
      <alignment horizontal="left" vertical="center" indent="1"/>
      <protection locked="0"/>
    </xf>
    <xf numFmtId="0" fontId="6" fillId="5" borderId="0" xfId="13" applyFont="1" applyFill="1" applyBorder="1" applyAlignment="1" applyProtection="1">
      <alignment horizontal="center" vertical="center"/>
      <protection locked="0" hidden="1"/>
    </xf>
    <xf numFmtId="0" fontId="30" fillId="9" borderId="0" xfId="13" applyFont="1" applyFill="1" applyBorder="1" applyAlignment="1" applyProtection="1">
      <alignment horizontal="center" vertical="center"/>
      <protection locked="0" hidden="1"/>
    </xf>
    <xf numFmtId="0" fontId="30" fillId="9" borderId="0" xfId="13" applyFont="1" applyFill="1" applyBorder="1" applyAlignment="1" applyProtection="1">
      <alignment horizontal="center" vertical="center"/>
      <protection locked="0"/>
    </xf>
    <xf numFmtId="49" fontId="22" fillId="6" borderId="4" xfId="13" applyNumberFormat="1" applyFont="1" applyFill="1" applyBorder="1" applyAlignment="1">
      <alignment horizontal="left" vertical="center" wrapText="1"/>
    </xf>
    <xf numFmtId="0" fontId="6" fillId="0" borderId="0" xfId="13" applyFont="1" applyBorder="1" applyAlignment="1" applyProtection="1">
      <alignment horizontal="right" vertical="center"/>
      <protection hidden="1"/>
    </xf>
    <xf numFmtId="0" fontId="6" fillId="15" borderId="0" xfId="13" applyFont="1" applyFill="1" applyBorder="1" applyAlignment="1" applyProtection="1">
      <alignment horizontal="right" vertical="center"/>
      <protection hidden="1"/>
    </xf>
    <xf numFmtId="10" fontId="6" fillId="9" borderId="0" xfId="13" applyNumberFormat="1" applyFont="1" applyFill="1" applyBorder="1" applyAlignment="1" applyProtection="1">
      <alignment horizontal="center" vertical="center"/>
      <protection hidden="1"/>
    </xf>
    <xf numFmtId="0" fontId="5" fillId="9" borderId="0" xfId="13" applyFont="1" applyFill="1" applyBorder="1" applyAlignment="1">
      <alignment horizontal="center" vertical="center"/>
    </xf>
    <xf numFmtId="193" fontId="26" fillId="10" borderId="0" xfId="5" applyFont="1" applyFill="1" applyAlignment="1" applyProtection="1">
      <alignment horizontal="center" vertical="center"/>
      <protection hidden="1"/>
    </xf>
    <xf numFmtId="193" fontId="25" fillId="0" borderId="0" xfId="5" applyFont="1" applyAlignment="1">
      <alignment horizontal="center"/>
    </xf>
    <xf numFmtId="226" fontId="6" fillId="4" borderId="0" xfId="3" applyNumberFormat="1" applyFont="1" applyFill="1" applyBorder="1" applyAlignment="1" applyProtection="1">
      <alignment horizontal="center" vertical="center"/>
      <protection hidden="1"/>
    </xf>
    <xf numFmtId="0" fontId="6" fillId="4" borderId="0" xfId="13" applyFont="1" applyFill="1" applyAlignment="1">
      <alignment horizontal="center" vertical="center"/>
    </xf>
    <xf numFmtId="0" fontId="30" fillId="9" borderId="0" xfId="13" applyFont="1" applyFill="1" applyBorder="1" applyAlignment="1" applyProtection="1">
      <alignment horizontal="center" vertical="center"/>
      <protection hidden="1"/>
    </xf>
    <xf numFmtId="0" fontId="12" fillId="14" borderId="0" xfId="13" applyFont="1" applyFill="1" applyBorder="1" applyAlignment="1" applyProtection="1">
      <alignment horizontal="center"/>
    </xf>
    <xf numFmtId="205" fontId="17" fillId="14" borderId="0" xfId="13" applyNumberFormat="1" applyFont="1" applyFill="1" applyBorder="1" applyAlignment="1" applyProtection="1">
      <alignment horizontal="center" vertical="center" wrapText="1"/>
    </xf>
    <xf numFmtId="185" fontId="17" fillId="14" borderId="0" xfId="13" applyNumberFormat="1" applyFont="1" applyFill="1" applyBorder="1" applyAlignment="1" applyProtection="1">
      <alignment horizontal="center" vertical="center"/>
    </xf>
    <xf numFmtId="0" fontId="12" fillId="14" borderId="0" xfId="13" applyFont="1" applyFill="1" applyAlignment="1" applyProtection="1">
      <alignment horizontal="center" vertical="center"/>
      <protection locked="0" hidden="1"/>
    </xf>
    <xf numFmtId="207" fontId="16" fillId="10" borderId="0" xfId="13" applyNumberFormat="1" applyFont="1" applyFill="1" applyBorder="1" applyAlignment="1" applyProtection="1">
      <alignment horizontal="center" vertical="center" shrinkToFit="1"/>
    </xf>
    <xf numFmtId="206" fontId="16" fillId="10" borderId="0" xfId="13" applyNumberFormat="1" applyFont="1" applyFill="1" applyBorder="1" applyAlignment="1" applyProtection="1">
      <alignment horizontal="left" vertical="center"/>
    </xf>
    <xf numFmtId="0" fontId="16" fillId="10" borderId="0" xfId="13" applyFont="1" applyFill="1" applyBorder="1" applyAlignment="1" applyProtection="1">
      <alignment horizontal="center" vertical="center"/>
    </xf>
    <xf numFmtId="0" fontId="3" fillId="0" borderId="0" xfId="13" applyFont="1" applyAlignment="1" applyProtection="1">
      <alignment horizontal="right" vertical="center" indent="1"/>
      <protection hidden="1"/>
    </xf>
    <xf numFmtId="14" fontId="5" fillId="0" borderId="0" xfId="13" applyNumberFormat="1" applyFont="1" applyAlignment="1" applyProtection="1">
      <alignment horizontal="center"/>
      <protection hidden="1"/>
    </xf>
    <xf numFmtId="0" fontId="3" fillId="0" borderId="23" xfId="13" applyFont="1" applyBorder="1" applyAlignment="1" applyProtection="1">
      <alignment horizontal="center" vertical="center" wrapText="1"/>
      <protection hidden="1"/>
    </xf>
    <xf numFmtId="0" fontId="3" fillId="0" borderId="14" xfId="13" applyFont="1" applyBorder="1" applyAlignment="1" applyProtection="1">
      <alignment horizontal="center" vertical="center" wrapText="1"/>
      <protection hidden="1"/>
    </xf>
    <xf numFmtId="0" fontId="3" fillId="0" borderId="26" xfId="13" applyFont="1" applyBorder="1" applyAlignment="1" applyProtection="1">
      <alignment horizontal="center" vertical="center" wrapText="1"/>
      <protection hidden="1"/>
    </xf>
    <xf numFmtId="0" fontId="3" fillId="0" borderId="7" xfId="13" applyFont="1" applyBorder="1" applyAlignment="1" applyProtection="1">
      <alignment horizontal="center" vertical="center" wrapText="1"/>
      <protection hidden="1"/>
    </xf>
    <xf numFmtId="0" fontId="3" fillId="0" borderId="0" xfId="13" applyFont="1" applyBorder="1" applyAlignment="1" applyProtection="1">
      <alignment horizontal="center" vertical="center" wrapText="1"/>
      <protection hidden="1"/>
    </xf>
    <xf numFmtId="0" fontId="3" fillId="0" borderId="6" xfId="13" applyFont="1" applyBorder="1" applyAlignment="1" applyProtection="1">
      <alignment horizontal="center" vertical="center" wrapText="1"/>
      <protection hidden="1"/>
    </xf>
    <xf numFmtId="0" fontId="3" fillId="0" borderId="5" xfId="13" applyFont="1" applyBorder="1" applyAlignment="1" applyProtection="1">
      <alignment horizontal="center" vertical="center" wrapText="1"/>
      <protection hidden="1"/>
    </xf>
    <xf numFmtId="0" fontId="3" fillId="0" borderId="4" xfId="13" applyFont="1" applyBorder="1" applyAlignment="1" applyProtection="1">
      <alignment horizontal="center" vertical="center" wrapText="1"/>
      <protection hidden="1"/>
    </xf>
    <xf numFmtId="0" fontId="3" fillId="0" borderId="3" xfId="13" applyFont="1" applyBorder="1" applyAlignment="1" applyProtection="1">
      <alignment horizontal="center" vertical="center" wrapText="1"/>
      <protection hidden="1"/>
    </xf>
    <xf numFmtId="0" fontId="16" fillId="10" borderId="0" xfId="13" applyFont="1" applyFill="1" applyBorder="1" applyAlignment="1" applyProtection="1">
      <alignment horizontal="right" vertical="center" wrapText="1"/>
    </xf>
    <xf numFmtId="205" fontId="17" fillId="14" borderId="0" xfId="13" applyNumberFormat="1" applyFont="1" applyFill="1" applyBorder="1" applyAlignment="1" applyProtection="1">
      <alignment horizontal="center" vertical="center"/>
    </xf>
    <xf numFmtId="0" fontId="12" fillId="14" borderId="0" xfId="13" applyFont="1" applyFill="1" applyAlignment="1" applyProtection="1">
      <alignment horizontal="center" vertical="center"/>
      <protection hidden="1"/>
    </xf>
    <xf numFmtId="0" fontId="3" fillId="13" borderId="0" xfId="13" applyFont="1" applyFill="1" applyBorder="1" applyAlignment="1" applyProtection="1">
      <alignment horizontal="left" vertical="center" indent="1"/>
      <protection locked="0"/>
    </xf>
    <xf numFmtId="0" fontId="4" fillId="0" borderId="0" xfId="13" applyFont="1" applyBorder="1" applyAlignment="1" applyProtection="1">
      <alignment horizontal="left" vertical="center" wrapText="1"/>
      <protection hidden="1"/>
    </xf>
    <xf numFmtId="0" fontId="4" fillId="0" borderId="0" xfId="13" applyAlignment="1" applyProtection="1">
      <alignment wrapText="1"/>
    </xf>
    <xf numFmtId="0" fontId="12" fillId="14" borderId="0" xfId="13" applyFont="1" applyFill="1" applyAlignment="1" applyProtection="1">
      <alignment horizontal="center" vertical="center" wrapText="1"/>
      <protection hidden="1"/>
    </xf>
    <xf numFmtId="0" fontId="12" fillId="14" borderId="0" xfId="13" applyFont="1" applyFill="1" applyAlignment="1" applyProtection="1">
      <alignment horizontal="center" vertical="top" wrapText="1"/>
      <protection hidden="1"/>
    </xf>
    <xf numFmtId="204" fontId="3" fillId="4" borderId="7" xfId="13" applyNumberFormat="1" applyFont="1" applyFill="1" applyBorder="1" applyAlignment="1" applyProtection="1">
      <alignment horizontal="left" vertical="center" indent="1"/>
      <protection hidden="1"/>
    </xf>
    <xf numFmtId="204" fontId="3" fillId="4" borderId="0" xfId="13" applyNumberFormat="1" applyFont="1" applyFill="1" applyBorder="1" applyAlignment="1" applyProtection="1">
      <alignment horizontal="left" vertical="center" indent="1"/>
      <protection hidden="1"/>
    </xf>
    <xf numFmtId="197" fontId="16" fillId="0" borderId="8" xfId="13" applyNumberFormat="1" applyFont="1" applyBorder="1" applyAlignment="1" applyProtection="1">
      <alignment horizontal="center" vertical="center"/>
    </xf>
    <xf numFmtId="197" fontId="16" fillId="0" borderId="2" xfId="13" applyNumberFormat="1" applyFont="1" applyBorder="1" applyAlignment="1" applyProtection="1">
      <alignment horizontal="center" vertical="center"/>
    </xf>
    <xf numFmtId="197" fontId="16" fillId="0" borderId="1" xfId="13" applyNumberFormat="1" applyFont="1" applyBorder="1" applyAlignment="1" applyProtection="1">
      <alignment horizontal="center" vertical="center"/>
    </xf>
    <xf numFmtId="0" fontId="3" fillId="0" borderId="0" xfId="13" applyFont="1" applyBorder="1" applyAlignment="1" applyProtection="1">
      <alignment horizontal="center" vertical="top" wrapText="1"/>
      <protection hidden="1"/>
    </xf>
    <xf numFmtId="0" fontId="13" fillId="0" borderId="8" xfId="13" applyFont="1" applyBorder="1" applyAlignment="1" applyProtection="1">
      <alignment horizontal="right" vertical="center" indent="1"/>
      <protection hidden="1"/>
    </xf>
    <xf numFmtId="0" fontId="13" fillId="0" borderId="2" xfId="13" applyFont="1" applyBorder="1" applyAlignment="1" applyProtection="1">
      <alignment horizontal="right" vertical="center" indent="1"/>
      <protection hidden="1"/>
    </xf>
    <xf numFmtId="0" fontId="49" fillId="0" borderId="28" xfId="15" applyFont="1" applyFill="1" applyBorder="1" applyAlignment="1" applyProtection="1">
      <alignment horizontal="left" vertical="top" wrapText="1"/>
    </xf>
    <xf numFmtId="0" fontId="49" fillId="0" borderId="0" xfId="15" applyFont="1" applyFill="1" applyBorder="1" applyAlignment="1" applyProtection="1">
      <alignment horizontal="left" vertical="top" wrapText="1"/>
    </xf>
    <xf numFmtId="0" fontId="40" fillId="18" borderId="28" xfId="15" applyFill="1" applyBorder="1" applyAlignment="1" applyProtection="1">
      <alignment horizontal="center" vertical="center"/>
    </xf>
    <xf numFmtId="0" fontId="40" fillId="18" borderId="0" xfId="15" applyFill="1" applyBorder="1" applyAlignment="1" applyProtection="1">
      <alignment horizontal="center" vertical="center" wrapText="1"/>
    </xf>
    <xf numFmtId="214" fontId="40" fillId="19" borderId="0" xfId="15" applyNumberFormat="1" applyFill="1" applyBorder="1" applyAlignment="1" applyProtection="1">
      <alignment horizontal="right" vertical="center" wrapText="1" indent="1"/>
      <protection locked="0"/>
    </xf>
    <xf numFmtId="0" fontId="40" fillId="18" borderId="39" xfId="15" applyFont="1" applyFill="1" applyBorder="1" applyAlignment="1" applyProtection="1">
      <alignment horizontal="center" wrapText="1"/>
    </xf>
    <xf numFmtId="0" fontId="40" fillId="18" borderId="40" xfId="15" applyFont="1" applyFill="1" applyBorder="1" applyAlignment="1" applyProtection="1">
      <alignment horizontal="center" wrapText="1"/>
    </xf>
    <xf numFmtId="243" fontId="40" fillId="20" borderId="0" xfId="15" applyNumberFormat="1" applyFont="1" applyFill="1" applyBorder="1" applyAlignment="1" applyProtection="1">
      <alignment horizontal="left" vertical="center" indent="1"/>
    </xf>
    <xf numFmtId="0" fontId="40" fillId="18" borderId="0" xfId="15" applyFill="1" applyBorder="1" applyAlignment="1" applyProtection="1">
      <alignment horizontal="right" vertical="center" indent="1"/>
    </xf>
    <xf numFmtId="0" fontId="40" fillId="18" borderId="41" xfId="15" applyFont="1" applyFill="1" applyBorder="1" applyAlignment="1" applyProtection="1">
      <alignment horizontal="center" wrapText="1"/>
    </xf>
    <xf numFmtId="0" fontId="40" fillId="18" borderId="42" xfId="15" applyFont="1" applyFill="1" applyBorder="1" applyAlignment="1" applyProtection="1">
      <alignment horizontal="center" wrapText="1"/>
    </xf>
    <xf numFmtId="224" fontId="38" fillId="6" borderId="0" xfId="13" applyNumberFormat="1" applyFont="1" applyFill="1" applyAlignment="1">
      <alignment vertical="center"/>
    </xf>
    <xf numFmtId="0" fontId="4" fillId="0" borderId="0" xfId="13" applyAlignment="1"/>
    <xf numFmtId="0" fontId="38" fillId="6" borderId="0" xfId="13" applyFont="1" applyFill="1" applyAlignment="1">
      <alignment horizontal="center" vertical="center" wrapText="1"/>
    </xf>
    <xf numFmtId="0" fontId="4" fillId="0" borderId="0" xfId="13" applyFont="1" applyFill="1" applyBorder="1" applyAlignment="1" applyProtection="1">
      <alignment vertical="center" wrapText="1"/>
      <protection hidden="1"/>
    </xf>
    <xf numFmtId="0" fontId="4" fillId="0" borderId="0" xfId="13" applyFont="1" applyFill="1" applyBorder="1" applyAlignment="1" applyProtection="1">
      <alignment vertical="center"/>
    </xf>
    <xf numFmtId="0" fontId="0" fillId="0" borderId="0" xfId="0" applyAlignment="1" applyProtection="1">
      <alignment horizontal="center"/>
    </xf>
    <xf numFmtId="0" fontId="0" fillId="0" borderId="11" xfId="0" applyBorder="1" applyAlignment="1" applyProtection="1">
      <alignment horizontal="center"/>
    </xf>
    <xf numFmtId="0" fontId="4" fillId="0" borderId="13" xfId="13" applyFont="1" applyFill="1" applyBorder="1" applyAlignment="1" applyProtection="1">
      <alignment horizontal="center" wrapText="1"/>
      <protection hidden="1"/>
    </xf>
    <xf numFmtId="0" fontId="4" fillId="0" borderId="11" xfId="13" applyFont="1" applyFill="1" applyBorder="1" applyAlignment="1" applyProtection="1">
      <alignment horizontal="center" wrapText="1"/>
      <protection hidden="1"/>
    </xf>
    <xf numFmtId="0" fontId="46" fillId="0" borderId="0" xfId="15" applyFont="1" applyBorder="1" applyAlignment="1" applyProtection="1">
      <alignment horizontal="center" vertical="top" textRotation="90"/>
    </xf>
    <xf numFmtId="0" fontId="5" fillId="11" borderId="0" xfId="13" applyFont="1" applyFill="1" applyBorder="1" applyAlignment="1" applyProtection="1"/>
    <xf numFmtId="209" fontId="5" fillId="11" borderId="0" xfId="17" applyNumberFormat="1" applyFont="1" applyFill="1" applyBorder="1" applyProtection="1">
      <protection hidden="1"/>
    </xf>
    <xf numFmtId="232" fontId="5" fillId="11" borderId="0" xfId="13" applyNumberFormat="1" applyFont="1" applyFill="1" applyBorder="1" applyProtection="1">
      <protection hidden="1"/>
    </xf>
    <xf numFmtId="0" fontId="4" fillId="11" borderId="0" xfId="13" applyFont="1" applyFill="1" applyBorder="1" applyProtection="1">
      <protection hidden="1"/>
    </xf>
    <xf numFmtId="0" fontId="6" fillId="11" borderId="0" xfId="13" applyFont="1" applyFill="1" applyBorder="1" applyProtection="1">
      <protection hidden="1"/>
    </xf>
    <xf numFmtId="0" fontId="8" fillId="11" borderId="0" xfId="13" applyFont="1" applyFill="1" applyBorder="1" applyAlignment="1" applyProtection="1">
      <alignment horizontal="centerContinuous" vertical="top" wrapText="1"/>
      <protection hidden="1"/>
    </xf>
    <xf numFmtId="0" fontId="8" fillId="11" borderId="0" xfId="13" applyFont="1" applyFill="1" applyBorder="1" applyAlignment="1" applyProtection="1">
      <alignment horizontal="center" vertical="top" wrapText="1"/>
      <protection hidden="1"/>
    </xf>
    <xf numFmtId="0" fontId="8" fillId="11" borderId="0" xfId="13" applyFont="1" applyFill="1" applyBorder="1" applyAlignment="1" applyProtection="1">
      <alignment horizontal="left" vertical="top" wrapText="1"/>
      <protection hidden="1"/>
    </xf>
    <xf numFmtId="0" fontId="8" fillId="11" borderId="0" xfId="13" applyFont="1" applyFill="1" applyBorder="1" applyAlignment="1" applyProtection="1">
      <alignment horizontal="center" vertical="top" wrapText="1"/>
      <protection hidden="1"/>
    </xf>
    <xf numFmtId="171" fontId="12" fillId="11" borderId="0" xfId="13" applyNumberFormat="1" applyFont="1" applyFill="1" applyBorder="1" applyAlignment="1" applyProtection="1">
      <alignment horizontal="right" vertical="center" indent="1"/>
      <protection hidden="1"/>
    </xf>
    <xf numFmtId="0" fontId="4" fillId="11" borderId="0" xfId="13" applyFont="1" applyFill="1" applyBorder="1" applyAlignment="1" applyProtection="1">
      <alignment horizontal="centerContinuous" vertical="top" wrapText="1"/>
      <protection hidden="1"/>
    </xf>
    <xf numFmtId="0" fontId="4" fillId="11" borderId="0" xfId="13" applyFont="1" applyFill="1" applyBorder="1" applyAlignment="1" applyProtection="1">
      <alignment horizontal="center" vertical="top" wrapText="1"/>
      <protection hidden="1"/>
    </xf>
    <xf numFmtId="231" fontId="4" fillId="11" borderId="0" xfId="13" applyNumberFormat="1" applyFont="1" applyFill="1" applyBorder="1" applyAlignment="1" applyProtection="1">
      <alignment horizontal="left" vertical="top" wrapText="1"/>
      <protection hidden="1"/>
    </xf>
    <xf numFmtId="231" fontId="4" fillId="11" borderId="0" xfId="13" applyNumberFormat="1" applyFont="1" applyFill="1" applyBorder="1" applyAlignment="1" applyProtection="1">
      <alignment horizontal="centerContinuous" vertical="top" wrapText="1"/>
      <protection hidden="1"/>
    </xf>
    <xf numFmtId="0" fontId="4" fillId="11" borderId="0" xfId="13" applyFont="1" applyFill="1" applyBorder="1" applyAlignment="1" applyProtection="1">
      <alignment vertical="top" wrapText="1"/>
      <protection hidden="1"/>
    </xf>
    <xf numFmtId="0" fontId="4" fillId="0" borderId="0" xfId="13" applyFont="1" applyFill="1" applyBorder="1" applyAlignment="1" applyProtection="1">
      <alignment vertical="top" wrapText="1"/>
      <protection hidden="1"/>
    </xf>
    <xf numFmtId="176" fontId="4" fillId="11" borderId="0" xfId="3" applyNumberFormat="1" applyFont="1" applyFill="1" applyBorder="1" applyProtection="1">
      <protection hidden="1"/>
    </xf>
    <xf numFmtId="191" fontId="4" fillId="11" borderId="0" xfId="13" applyNumberFormat="1" applyFont="1" applyFill="1" applyBorder="1" applyProtection="1">
      <protection hidden="1"/>
    </xf>
    <xf numFmtId="199" fontId="4" fillId="11" borderId="0" xfId="13" applyNumberFormat="1" applyFont="1" applyFill="1" applyBorder="1" applyProtection="1">
      <protection hidden="1"/>
    </xf>
    <xf numFmtId="171" fontId="4" fillId="11" borderId="0" xfId="10" applyNumberFormat="1" applyFont="1" applyFill="1" applyBorder="1" applyProtection="1">
      <protection hidden="1"/>
    </xf>
    <xf numFmtId="171" fontId="4" fillId="0" borderId="0" xfId="10" applyNumberFormat="1" applyFont="1" applyFill="1" applyBorder="1" applyProtection="1">
      <protection hidden="1"/>
    </xf>
    <xf numFmtId="178" fontId="5" fillId="11" borderId="0" xfId="17" applyNumberFormat="1" applyFont="1" applyFill="1" applyBorder="1" applyProtection="1">
      <protection hidden="1"/>
    </xf>
    <xf numFmtId="227" fontId="5" fillId="11" borderId="0" xfId="13" applyNumberFormat="1" applyFont="1" applyFill="1" applyBorder="1" applyProtection="1">
      <protection hidden="1"/>
    </xf>
    <xf numFmtId="177" fontId="5" fillId="11" borderId="0" xfId="13" applyNumberFormat="1" applyFont="1" applyFill="1" applyBorder="1" applyProtection="1">
      <protection hidden="1"/>
    </xf>
    <xf numFmtId="0" fontId="4" fillId="11" borderId="0" xfId="13" applyFont="1" applyFill="1" applyBorder="1" applyAlignment="1" applyProtection="1">
      <alignment horizontal="right" vertical="top" wrapText="1"/>
      <protection hidden="1"/>
    </xf>
    <xf numFmtId="199" fontId="4" fillId="11" borderId="0" xfId="13" applyNumberFormat="1" applyFont="1" applyFill="1" applyBorder="1" applyAlignment="1" applyProtection="1">
      <alignment horizontal="right" vertical="top" wrapText="1"/>
      <protection hidden="1"/>
    </xf>
    <xf numFmtId="2" fontId="4" fillId="11" borderId="0" xfId="13" applyNumberFormat="1" applyFont="1" applyFill="1" applyBorder="1" applyAlignment="1" applyProtection="1">
      <alignment horizontal="right" wrapText="1"/>
      <protection hidden="1"/>
    </xf>
    <xf numFmtId="0" fontId="4" fillId="11" borderId="0" xfId="13" applyFont="1" applyFill="1" applyBorder="1" applyAlignment="1" applyProtection="1">
      <alignment horizontal="right" wrapText="1"/>
      <protection hidden="1"/>
    </xf>
    <xf numFmtId="0" fontId="4" fillId="11" borderId="0" xfId="13" applyFont="1" applyFill="1" applyBorder="1" applyAlignment="1" applyProtection="1">
      <alignment horizontal="right"/>
      <protection hidden="1"/>
    </xf>
    <xf numFmtId="181" fontId="4" fillId="11" borderId="0" xfId="13" applyNumberFormat="1" applyFont="1" applyFill="1" applyBorder="1" applyProtection="1">
      <protection hidden="1"/>
    </xf>
    <xf numFmtId="181" fontId="4" fillId="11" borderId="0" xfId="3" applyNumberFormat="1" applyFont="1" applyFill="1" applyBorder="1" applyProtection="1">
      <protection hidden="1"/>
    </xf>
    <xf numFmtId="2" fontId="4" fillId="11" borderId="0" xfId="13" applyNumberFormat="1" applyFont="1" applyFill="1" applyBorder="1" applyProtection="1">
      <protection hidden="1"/>
    </xf>
    <xf numFmtId="178" fontId="5" fillId="11" borderId="0" xfId="17" applyNumberFormat="1" applyFont="1" applyFill="1" applyBorder="1" applyAlignment="1" applyProtection="1">
      <alignment vertical="top"/>
      <protection hidden="1"/>
    </xf>
    <xf numFmtId="49" fontId="4" fillId="11" borderId="0" xfId="13" applyNumberFormat="1" applyFont="1" applyFill="1" applyBorder="1" applyAlignment="1" applyProtection="1">
      <alignment horizontal="right"/>
      <protection hidden="1"/>
    </xf>
    <xf numFmtId="216" fontId="4" fillId="11" borderId="0" xfId="5" applyNumberFormat="1" applyFont="1" applyFill="1" applyBorder="1" applyProtection="1">
      <protection hidden="1"/>
    </xf>
    <xf numFmtId="0" fontId="5" fillId="11" borderId="0" xfId="13" applyFont="1" applyFill="1" applyBorder="1" applyAlignment="1" applyProtection="1">
      <alignment horizontal="left" vertical="center" indent="1"/>
    </xf>
    <xf numFmtId="1" fontId="4" fillId="11" borderId="0" xfId="13" applyNumberFormat="1" applyFont="1" applyFill="1" applyBorder="1" applyProtection="1">
      <protection hidden="1"/>
    </xf>
    <xf numFmtId="178" fontId="4" fillId="11" borderId="0" xfId="13" applyNumberFormat="1" applyFont="1" applyFill="1" applyBorder="1" applyProtection="1">
      <protection hidden="1"/>
    </xf>
    <xf numFmtId="8" fontId="5" fillId="11" borderId="0" xfId="13" applyNumberFormat="1" applyFont="1" applyFill="1" applyBorder="1" applyAlignment="1" applyProtection="1">
      <alignment horizontal="center"/>
      <protection hidden="1"/>
    </xf>
    <xf numFmtId="0" fontId="4" fillId="11" borderId="0" xfId="13" applyFont="1" applyFill="1" applyBorder="1" applyAlignment="1" applyProtection="1">
      <alignment horizontal="center"/>
    </xf>
    <xf numFmtId="1" fontId="4" fillId="11" borderId="0" xfId="13" applyNumberFormat="1" applyFont="1" applyFill="1" applyBorder="1" applyAlignment="1" applyProtection="1">
      <alignment horizontal="right"/>
      <protection hidden="1"/>
    </xf>
    <xf numFmtId="8" fontId="5" fillId="11" borderId="0" xfId="13" applyNumberFormat="1" applyFont="1" applyFill="1" applyBorder="1" applyAlignment="1" applyProtection="1">
      <alignment horizontal="left" vertical="center"/>
    </xf>
    <xf numFmtId="0" fontId="5" fillId="11" borderId="0" xfId="13" applyFont="1" applyFill="1" applyBorder="1" applyAlignment="1" applyProtection="1">
      <alignment horizontal="left" vertical="center"/>
      <protection hidden="1"/>
    </xf>
    <xf numFmtId="8" fontId="5" fillId="11" borderId="0" xfId="13" applyNumberFormat="1" applyFont="1" applyFill="1" applyBorder="1" applyAlignment="1" applyProtection="1">
      <alignment horizontal="left" vertical="center"/>
      <protection hidden="1"/>
    </xf>
    <xf numFmtId="0" fontId="4" fillId="11" borderId="0" xfId="13" applyFont="1" applyFill="1" applyBorder="1"/>
    <xf numFmtId="0" fontId="4" fillId="11" borderId="0" xfId="13" applyFont="1" applyFill="1" applyBorder="1" applyAlignment="1">
      <alignment wrapText="1"/>
    </xf>
    <xf numFmtId="0" fontId="5" fillId="11" borderId="0" xfId="13" applyFont="1" applyFill="1" applyBorder="1" applyAlignment="1" applyProtection="1">
      <alignment horizontal="center"/>
      <protection hidden="1"/>
    </xf>
    <xf numFmtId="0" fontId="4" fillId="11" borderId="0" xfId="13" applyFont="1" applyFill="1" applyBorder="1" applyAlignment="1">
      <alignment horizontal="center" vertical="center"/>
    </xf>
    <xf numFmtId="10" fontId="4" fillId="11" borderId="0" xfId="13" applyNumberFormat="1" applyFont="1" applyFill="1" applyBorder="1" applyProtection="1">
      <protection hidden="1"/>
    </xf>
    <xf numFmtId="10" fontId="8" fillId="11" borderId="0" xfId="13" applyNumberFormat="1" applyFont="1" applyFill="1" applyBorder="1" applyProtection="1">
      <protection hidden="1"/>
    </xf>
    <xf numFmtId="1" fontId="5" fillId="11" borderId="0" xfId="5" applyNumberFormat="1" applyFont="1" applyFill="1" applyBorder="1" applyAlignment="1" applyProtection="1">
      <alignment vertical="center"/>
      <protection hidden="1"/>
    </xf>
    <xf numFmtId="178" fontId="5" fillId="11" borderId="0" xfId="17" applyNumberFormat="1" applyFont="1" applyFill="1" applyBorder="1" applyAlignment="1" applyProtection="1">
      <alignment vertical="center"/>
      <protection hidden="1"/>
    </xf>
    <xf numFmtId="0" fontId="5" fillId="11" borderId="0" xfId="13" applyFont="1" applyFill="1" applyBorder="1" applyAlignment="1" applyProtection="1">
      <alignment vertical="center"/>
      <protection hidden="1"/>
    </xf>
    <xf numFmtId="0" fontId="4" fillId="11" borderId="0" xfId="13" applyFont="1" applyFill="1" applyBorder="1" applyAlignment="1">
      <alignment vertical="center"/>
    </xf>
    <xf numFmtId="0" fontId="5" fillId="11" borderId="0" xfId="13" applyFont="1" applyFill="1" applyBorder="1" applyAlignment="1" applyProtection="1">
      <alignment horizontal="center" vertical="center"/>
      <protection hidden="1"/>
    </xf>
    <xf numFmtId="1" fontId="4" fillId="11" borderId="0" xfId="13" applyNumberFormat="1" applyFont="1" applyFill="1" applyBorder="1" applyAlignment="1" applyProtection="1">
      <alignment horizontal="right" vertical="center"/>
      <protection hidden="1"/>
    </xf>
    <xf numFmtId="178" fontId="5" fillId="11" borderId="0" xfId="17" applyNumberFormat="1" applyFont="1" applyFill="1" applyBorder="1" applyAlignment="1" applyProtection="1">
      <alignment horizontal="center" vertical="center"/>
      <protection hidden="1"/>
    </xf>
    <xf numFmtId="1" fontId="4" fillId="11" borderId="0" xfId="3" applyNumberFormat="1" applyFont="1" applyFill="1" applyBorder="1" applyAlignment="1" applyProtection="1">
      <alignment horizontal="center" vertical="center"/>
      <protection hidden="1"/>
    </xf>
    <xf numFmtId="2" fontId="5" fillId="11" borderId="0" xfId="13" applyNumberFormat="1" applyFont="1" applyFill="1" applyBorder="1" applyProtection="1">
      <protection hidden="1"/>
    </xf>
    <xf numFmtId="1" fontId="5" fillId="11" borderId="0" xfId="13" applyNumberFormat="1" applyFont="1" applyFill="1" applyBorder="1" applyAlignment="1" applyProtection="1">
      <alignment vertical="center"/>
      <protection hidden="1"/>
    </xf>
    <xf numFmtId="49" fontId="5" fillId="11" borderId="0" xfId="13" applyNumberFormat="1" applyFont="1" applyFill="1" applyBorder="1" applyAlignment="1" applyProtection="1">
      <alignment horizontal="center" vertical="center"/>
      <protection hidden="1"/>
    </xf>
    <xf numFmtId="1" fontId="4" fillId="11" borderId="0" xfId="13" applyNumberFormat="1" applyFont="1" applyFill="1" applyBorder="1" applyAlignment="1" applyProtection="1">
      <alignment horizontal="center" vertical="center"/>
      <protection hidden="1"/>
    </xf>
    <xf numFmtId="2" fontId="52" fillId="4" borderId="0" xfId="13" applyNumberFormat="1" applyFont="1" applyFill="1" applyProtection="1">
      <protection locked="0"/>
    </xf>
    <xf numFmtId="177" fontId="4" fillId="11" borderId="0" xfId="13" applyNumberFormat="1" applyFont="1" applyFill="1" applyBorder="1" applyProtection="1">
      <protection hidden="1"/>
    </xf>
    <xf numFmtId="2" fontId="52" fillId="4" borderId="0" xfId="13" applyNumberFormat="1" applyFont="1" applyFill="1"/>
    <xf numFmtId="178" fontId="5" fillId="11" borderId="0" xfId="13" applyNumberFormat="1" applyFont="1" applyFill="1" applyBorder="1" applyAlignment="1" applyProtection="1">
      <alignment vertical="center"/>
      <protection hidden="1"/>
    </xf>
    <xf numFmtId="177" fontId="4" fillId="11" borderId="0" xfId="13" applyNumberFormat="1" applyFont="1" applyFill="1" applyBorder="1" applyAlignment="1" applyProtection="1">
      <alignment horizontal="center" vertical="center"/>
      <protection hidden="1"/>
    </xf>
    <xf numFmtId="176" fontId="8" fillId="11" borderId="0" xfId="3" applyNumberFormat="1" applyFont="1" applyFill="1" applyBorder="1" applyProtection="1">
      <protection hidden="1"/>
    </xf>
    <xf numFmtId="176" fontId="4" fillId="11" borderId="0" xfId="13" applyNumberFormat="1" applyFont="1" applyFill="1" applyBorder="1" applyProtection="1">
      <protection hidden="1"/>
    </xf>
    <xf numFmtId="0" fontId="4" fillId="11" borderId="0" xfId="13" applyFont="1" applyFill="1" applyBorder="1" applyAlignment="1" applyProtection="1">
      <alignment horizontal="right" indent="1"/>
      <protection hidden="1"/>
    </xf>
    <xf numFmtId="177" fontId="4" fillId="11" borderId="0" xfId="13" applyNumberFormat="1" applyFont="1" applyFill="1" applyBorder="1" applyAlignment="1" applyProtection="1">
      <alignment vertical="center"/>
      <protection hidden="1"/>
    </xf>
    <xf numFmtId="0" fontId="4" fillId="11" borderId="0" xfId="13" applyFont="1" applyFill="1" applyBorder="1" applyAlignment="1" applyProtection="1">
      <alignment horizontal="right" vertical="center"/>
      <protection hidden="1"/>
    </xf>
    <xf numFmtId="177" fontId="5" fillId="11" borderId="0" xfId="13" applyNumberFormat="1" applyFont="1" applyFill="1" applyBorder="1" applyAlignment="1" applyProtection="1">
      <alignment horizontal="center" vertical="center"/>
      <protection hidden="1"/>
    </xf>
    <xf numFmtId="223" fontId="4" fillId="11" borderId="0" xfId="13" applyNumberFormat="1" applyFont="1" applyFill="1" applyBorder="1" applyProtection="1">
      <protection hidden="1"/>
    </xf>
    <xf numFmtId="0" fontId="52" fillId="4" borderId="0" xfId="13" applyNumberFormat="1" applyFont="1" applyFill="1" applyAlignment="1">
      <alignment horizontal="right"/>
    </xf>
    <xf numFmtId="2" fontId="52" fillId="4" borderId="0" xfId="13" applyNumberFormat="1" applyFont="1" applyFill="1" applyAlignment="1">
      <alignment horizontal="right"/>
    </xf>
    <xf numFmtId="4" fontId="5" fillId="11" borderId="0" xfId="13" applyNumberFormat="1" applyFont="1" applyFill="1" applyBorder="1" applyProtection="1">
      <protection hidden="1"/>
    </xf>
    <xf numFmtId="178" fontId="5" fillId="11" borderId="0" xfId="13" applyNumberFormat="1" applyFont="1" applyFill="1" applyBorder="1" applyProtection="1">
      <protection hidden="1"/>
    </xf>
    <xf numFmtId="49" fontId="52" fillId="4" borderId="12" xfId="13" applyNumberFormat="1" applyFont="1" applyFill="1" applyBorder="1" applyProtection="1"/>
    <xf numFmtId="2" fontId="52" fillId="11" borderId="0" xfId="13" applyNumberFormat="1" applyFont="1" applyFill="1" applyAlignment="1" applyProtection="1">
      <alignment horizontal="right"/>
      <protection locked="0"/>
    </xf>
    <xf numFmtId="171" fontId="46" fillId="0" borderId="0" xfId="0" applyNumberFormat="1" applyFont="1" applyProtection="1"/>
  </cellXfs>
  <cellStyles count="18">
    <cellStyle name="Dezimal" xfId="4" builtinId="3"/>
    <cellStyle name="Dezimal [0] 2" xfId="1"/>
    <cellStyle name="Dezimal 2" xfId="2"/>
    <cellStyle name="Euro" xfId="3"/>
    <cellStyle name="Hyperlink" xfId="7" builtinId="8"/>
    <cellStyle name="Komma 2" xfId="5"/>
    <cellStyle name="Komma 2 2" xfId="6"/>
    <cellStyle name="Neutral 2" xfId="8"/>
    <cellStyle name="Prozent" xfId="9" builtinId="5"/>
    <cellStyle name="Prozent 2" xfId="10"/>
    <cellStyle name="Prozent 2 2" xfId="11"/>
    <cellStyle name="Prozent 3" xfId="12"/>
    <cellStyle name="Standard" xfId="0" builtinId="0"/>
    <cellStyle name="Standard 2" xfId="13"/>
    <cellStyle name="Standard 2 2" xfId="14"/>
    <cellStyle name="Standard 3" xfId="15"/>
    <cellStyle name="Währung" xfId="16" builtinId="4"/>
    <cellStyle name="Währung 2" xfId="17"/>
  </cellStyles>
  <dxfs count="19">
    <dxf>
      <font>
        <color theme="0"/>
      </font>
    </dxf>
    <dxf>
      <font>
        <condense val="0"/>
        <extend val="0"/>
        <color indexed="53"/>
      </font>
    </dxf>
    <dxf>
      <font>
        <color theme="0"/>
      </font>
    </dxf>
    <dxf>
      <font>
        <color theme="0"/>
      </font>
    </dxf>
    <dxf>
      <font>
        <b val="0"/>
        <i val="0"/>
        <strike val="0"/>
        <color theme="1"/>
      </font>
      <fill>
        <patternFill>
          <bgColor rgb="FFFF0000"/>
        </patternFill>
      </fill>
    </dxf>
    <dxf>
      <font>
        <color theme="0"/>
      </font>
      <fill>
        <patternFill>
          <bgColor theme="0"/>
        </patternFill>
      </fill>
    </dxf>
    <dxf>
      <font>
        <color theme="0"/>
      </font>
      <fill>
        <patternFill>
          <bgColor theme="0"/>
        </patternFill>
      </fill>
    </dxf>
    <dxf>
      <font>
        <color theme="0"/>
      </font>
      <fill>
        <patternFill patternType="solid">
          <bgColor theme="0"/>
        </patternFill>
      </fill>
    </dxf>
    <dxf>
      <font>
        <color theme="0"/>
      </font>
    </dxf>
    <dxf>
      <font>
        <color theme="0"/>
      </font>
      <fill>
        <patternFill>
          <bgColor theme="0"/>
        </patternFill>
      </fill>
    </dxf>
    <dxf>
      <fill>
        <patternFill>
          <bgColor rgb="FFFF0000"/>
        </patternFill>
      </fill>
    </dxf>
    <dxf>
      <font>
        <condense val="0"/>
        <extend val="0"/>
        <color indexed="22"/>
      </font>
    </dxf>
    <dxf>
      <font>
        <color theme="0" tint="-0.24994659260841701"/>
      </font>
    </dxf>
    <dxf>
      <font>
        <condense val="0"/>
        <extend val="0"/>
        <color indexed="22"/>
      </font>
    </dxf>
    <dxf>
      <font>
        <color theme="0" tint="-0.24994659260841701"/>
      </font>
    </dxf>
    <dxf>
      <font>
        <condense val="0"/>
        <extend val="0"/>
        <color indexed="22"/>
      </font>
    </dxf>
    <dxf>
      <font>
        <condense val="0"/>
        <extend val="0"/>
        <color indexed="22"/>
      </font>
    </dxf>
    <dxf>
      <font>
        <color theme="0" tint="-0.24994659260841701"/>
      </font>
    </dxf>
    <dxf>
      <font>
        <condense val="0"/>
        <extend val="0"/>
        <color indexed="22"/>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1400" b="1" i="0" u="none" strike="noStrike" baseline="0">
                <a:solidFill>
                  <a:srgbClr val="333333"/>
                </a:solidFill>
                <a:latin typeface="Arial"/>
                <a:ea typeface="Arial"/>
                <a:cs typeface="Arial"/>
              </a:defRPr>
            </a:pPr>
            <a:r>
              <a:rPr lang="de-DE" sz="1400"/>
              <a:t>Energiepreisentwicklung </a:t>
            </a:r>
          </a:p>
        </c:rich>
      </c:tx>
      <c:layout>
        <c:manualLayout>
          <c:xMode val="edge"/>
          <c:yMode val="edge"/>
          <c:x val="3.7254955199565606E-2"/>
          <c:y val="2.9787259883003108E-2"/>
        </c:manualLayout>
      </c:layout>
      <c:spPr>
        <a:noFill/>
        <a:ln w="25400">
          <a:noFill/>
        </a:ln>
      </c:spPr>
    </c:title>
    <c:plotArea>
      <c:layout>
        <c:manualLayout>
          <c:layoutTarget val="inner"/>
          <c:xMode val="edge"/>
          <c:yMode val="edge"/>
          <c:x val="3.5294151438181105E-2"/>
          <c:y val="9.1489361702127583E-2"/>
          <c:w val="0.94332489688789034"/>
          <c:h val="0.83191489361702264"/>
        </c:manualLayout>
      </c:layout>
      <c:areaChart>
        <c:grouping val="standard"/>
        <c:ser>
          <c:idx val="1"/>
          <c:order val="0"/>
          <c:tx>
            <c:strRef>
              <c:f>Solarwärme!$AW$9</c:f>
              <c:strCache>
                <c:ptCount val="1"/>
                <c:pt idx="0">
                  <c:v>Erdgas m³</c:v>
                </c:pt>
              </c:strCache>
            </c:strRef>
          </c:tx>
          <c:spPr>
            <a:solidFill>
              <a:srgbClr val="FFFF99"/>
            </a:solidFill>
            <a:ln w="25400">
              <a:noFill/>
            </a:ln>
          </c:spPr>
          <c:cat>
            <c:numRef>
              <c:f>Solarwärme!$AT$12:$AT$56</c:f>
              <c:numCache>
                <c:formatCode>General</c:formatCode>
                <c:ptCount val="45"/>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numCache>
            </c:numRef>
          </c:cat>
          <c:val>
            <c:numRef>
              <c:f>Solarwärme!$AX$12:$AX$56</c:f>
              <c:numCache>
                <c:formatCode>0.0</c:formatCode>
                <c:ptCount val="45"/>
                <c:pt idx="0">
                  <c:v>15.54</c:v>
                </c:pt>
                <c:pt idx="1">
                  <c:v>16.649999999999999</c:v>
                </c:pt>
                <c:pt idx="2">
                  <c:v>16.649999999999999</c:v>
                </c:pt>
                <c:pt idx="3">
                  <c:v>19.425000000000001</c:v>
                </c:pt>
                <c:pt idx="4">
                  <c:v>21.09</c:v>
                </c:pt>
                <c:pt idx="5">
                  <c:v>23.864999999999998</c:v>
                </c:pt>
                <c:pt idx="6">
                  <c:v>24.42</c:v>
                </c:pt>
                <c:pt idx="7">
                  <c:v>24.42</c:v>
                </c:pt>
                <c:pt idx="8">
                  <c:v>24.974999999999998</c:v>
                </c:pt>
                <c:pt idx="9">
                  <c:v>28.86</c:v>
                </c:pt>
                <c:pt idx="10">
                  <c:v>36.629999999999995</c:v>
                </c:pt>
                <c:pt idx="11">
                  <c:v>42.18</c:v>
                </c:pt>
                <c:pt idx="12">
                  <c:v>41.625</c:v>
                </c:pt>
                <c:pt idx="13">
                  <c:v>41.625</c:v>
                </c:pt>
                <c:pt idx="14">
                  <c:v>42.734999999999999</c:v>
                </c:pt>
                <c:pt idx="15">
                  <c:v>39.96</c:v>
                </c:pt>
                <c:pt idx="16">
                  <c:v>27.75</c:v>
                </c:pt>
                <c:pt idx="17">
                  <c:v>27.195</c:v>
                </c:pt>
                <c:pt idx="18">
                  <c:v>27.75</c:v>
                </c:pt>
                <c:pt idx="19">
                  <c:v>34.409999999999997</c:v>
                </c:pt>
                <c:pt idx="20">
                  <c:v>34.964999999999996</c:v>
                </c:pt>
                <c:pt idx="21">
                  <c:v>35.520000000000003</c:v>
                </c:pt>
                <c:pt idx="22">
                  <c:v>34.964999999999996</c:v>
                </c:pt>
                <c:pt idx="23">
                  <c:v>34.409999999999997</c:v>
                </c:pt>
                <c:pt idx="24">
                  <c:v>33.299999999999997</c:v>
                </c:pt>
                <c:pt idx="25">
                  <c:v>32.744999999999997</c:v>
                </c:pt>
                <c:pt idx="26">
                  <c:v>34.409999999999997</c:v>
                </c:pt>
                <c:pt idx="27">
                  <c:v>34.964999999999996</c:v>
                </c:pt>
                <c:pt idx="28">
                  <c:v>33.299999999999997</c:v>
                </c:pt>
                <c:pt idx="29">
                  <c:v>39.404999999999994</c:v>
                </c:pt>
                <c:pt idx="30">
                  <c:v>48.84</c:v>
                </c:pt>
                <c:pt idx="31">
                  <c:v>46.62</c:v>
                </c:pt>
                <c:pt idx="32">
                  <c:v>53.279999999999994</c:v>
                </c:pt>
                <c:pt idx="33">
                  <c:v>52.17</c:v>
                </c:pt>
                <c:pt idx="34">
                  <c:v>57.72</c:v>
                </c:pt>
                <c:pt idx="35">
                  <c:v>68.819999999999993</c:v>
                </c:pt>
                <c:pt idx="36">
                  <c:v>72.149999999999991</c:v>
                </c:pt>
                <c:pt idx="37">
                  <c:v>77.866499999999988</c:v>
                </c:pt>
                <c:pt idx="38">
                  <c:v>68.653499999999994</c:v>
                </c:pt>
                <c:pt idx="39">
                  <c:v>63.047999999999995</c:v>
                </c:pt>
                <c:pt idx="40">
                  <c:v>68.153999999999996</c:v>
                </c:pt>
                <c:pt idx="41">
                  <c:v>71.317499999999995</c:v>
                </c:pt>
                <c:pt idx="42">
                  <c:v>74.924999999999997</c:v>
                </c:pt>
                <c:pt idx="43">
                  <c:v>75.424499999999995</c:v>
                </c:pt>
                <c:pt idx="44" formatCode="General">
                  <c:v>75.313500000000005</c:v>
                </c:pt>
              </c:numCache>
            </c:numRef>
          </c:val>
        </c:ser>
        <c:ser>
          <c:idx val="0"/>
          <c:order val="1"/>
          <c:tx>
            <c:strRef>
              <c:f>Solarwärme!$AU$9</c:f>
              <c:strCache>
                <c:ptCount val="1"/>
                <c:pt idx="0">
                  <c:v>Heizöl l</c:v>
                </c:pt>
              </c:strCache>
            </c:strRef>
          </c:tx>
          <c:spPr>
            <a:solidFill>
              <a:srgbClr val="FFCC00"/>
            </a:solidFill>
            <a:ln w="25400">
              <a:noFill/>
            </a:ln>
          </c:spPr>
          <c:cat>
            <c:numRef>
              <c:f>Solarwärme!$AT$12:$AT$56</c:f>
              <c:numCache>
                <c:formatCode>General</c:formatCode>
                <c:ptCount val="45"/>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numCache>
            </c:numRef>
          </c:cat>
          <c:val>
            <c:numRef>
              <c:f>Solarwärme!$AV$12:$AV$56</c:f>
              <c:numCache>
                <c:formatCode>0.0</c:formatCode>
                <c:ptCount val="45"/>
                <c:pt idx="0">
                  <c:v>8.91</c:v>
                </c:pt>
                <c:pt idx="1">
                  <c:v>7.9200000000000008</c:v>
                </c:pt>
                <c:pt idx="2">
                  <c:v>11.88</c:v>
                </c:pt>
                <c:pt idx="3">
                  <c:v>14.850000000000001</c:v>
                </c:pt>
                <c:pt idx="4">
                  <c:v>14.355</c:v>
                </c:pt>
                <c:pt idx="5">
                  <c:v>17.324999999999999</c:v>
                </c:pt>
                <c:pt idx="6">
                  <c:v>16.830000000000002</c:v>
                </c:pt>
                <c:pt idx="7">
                  <c:v>16.335000000000001</c:v>
                </c:pt>
                <c:pt idx="8">
                  <c:v>27.72</c:v>
                </c:pt>
                <c:pt idx="9">
                  <c:v>31.680000000000003</c:v>
                </c:pt>
                <c:pt idx="10">
                  <c:v>37.125</c:v>
                </c:pt>
                <c:pt idx="11">
                  <c:v>39.105000000000004</c:v>
                </c:pt>
                <c:pt idx="12">
                  <c:v>36.630000000000003</c:v>
                </c:pt>
                <c:pt idx="13">
                  <c:v>37.619999999999997</c:v>
                </c:pt>
                <c:pt idx="14">
                  <c:v>40.094999999999999</c:v>
                </c:pt>
                <c:pt idx="15">
                  <c:v>22.77</c:v>
                </c:pt>
                <c:pt idx="16">
                  <c:v>18.809999999999999</c:v>
                </c:pt>
                <c:pt idx="17">
                  <c:v>17.324999999999999</c:v>
                </c:pt>
                <c:pt idx="18">
                  <c:v>22.77</c:v>
                </c:pt>
                <c:pt idx="19">
                  <c:v>24.75</c:v>
                </c:pt>
                <c:pt idx="20">
                  <c:v>25.740000000000002</c:v>
                </c:pt>
                <c:pt idx="21">
                  <c:v>24.255000000000003</c:v>
                </c:pt>
                <c:pt idx="22">
                  <c:v>24.75</c:v>
                </c:pt>
                <c:pt idx="23">
                  <c:v>22.77</c:v>
                </c:pt>
                <c:pt idx="24">
                  <c:v>21.78</c:v>
                </c:pt>
                <c:pt idx="25">
                  <c:v>25.740000000000002</c:v>
                </c:pt>
                <c:pt idx="26">
                  <c:v>26.234999999999999</c:v>
                </c:pt>
                <c:pt idx="27">
                  <c:v>21.78</c:v>
                </c:pt>
                <c:pt idx="28">
                  <c:v>26.730000000000004</c:v>
                </c:pt>
                <c:pt idx="29" formatCode="0.00">
                  <c:v>35.299999999999997</c:v>
                </c:pt>
                <c:pt idx="30" formatCode="0.00">
                  <c:v>32.060557410408883</c:v>
                </c:pt>
                <c:pt idx="31" formatCode="0.00">
                  <c:v>30.270833333333329</c:v>
                </c:pt>
                <c:pt idx="32" formatCode="0.00">
                  <c:v>30.749166666666667</c:v>
                </c:pt>
                <c:pt idx="33" formatCode="0.00">
                  <c:v>34.406666666666666</c:v>
                </c:pt>
                <c:pt idx="34" formatCode="0.00">
                  <c:v>45.105833333333329</c:v>
                </c:pt>
                <c:pt idx="35" formatCode="0.00">
                  <c:v>50.323333333333331</c:v>
                </c:pt>
                <c:pt idx="36" formatCode="0.00">
                  <c:v>49.731666666666676</c:v>
                </c:pt>
                <c:pt idx="37" formatCode="0.00">
                  <c:v>64.081666666666663</c:v>
                </c:pt>
                <c:pt idx="38" formatCode="0.00">
                  <c:v>43.768333333333338</c:v>
                </c:pt>
                <c:pt idx="39" formatCode="0.00">
                  <c:v>54.87166666666667</c:v>
                </c:pt>
                <c:pt idx="40" formatCode="General">
                  <c:v>69.260000000000005</c:v>
                </c:pt>
                <c:pt idx="41" formatCode="0.00">
                  <c:v>75.33</c:v>
                </c:pt>
                <c:pt idx="42" formatCode="0.00">
                  <c:v>70.36</c:v>
                </c:pt>
                <c:pt idx="43" formatCode="0.00">
                  <c:v>64.37</c:v>
                </c:pt>
                <c:pt idx="44" formatCode="0.00">
                  <c:v>48.79</c:v>
                </c:pt>
              </c:numCache>
            </c:numRef>
          </c:val>
        </c:ser>
        <c:axId val="64871808"/>
        <c:axId val="66700800"/>
      </c:areaChart>
      <c:catAx>
        <c:axId val="64871808"/>
        <c:scaling>
          <c:orientation val="minMax"/>
        </c:scaling>
        <c:axPos val="b"/>
        <c:numFmt formatCode="0" sourceLinked="0"/>
        <c:tickLblPos val="nextTo"/>
        <c:spPr>
          <a:ln w="25400">
            <a:solidFill>
              <a:srgbClr val="FFCC00"/>
            </a:solidFill>
            <a:prstDash val="solid"/>
          </a:ln>
        </c:spPr>
        <c:txPr>
          <a:bodyPr rot="0" vert="horz"/>
          <a:lstStyle/>
          <a:p>
            <a:pPr>
              <a:defRPr sz="1075" b="1" i="0" u="none" strike="noStrike" baseline="0">
                <a:solidFill>
                  <a:srgbClr val="333333"/>
                </a:solidFill>
                <a:latin typeface="Arial"/>
                <a:ea typeface="Arial"/>
                <a:cs typeface="Arial"/>
              </a:defRPr>
            </a:pPr>
            <a:endParaRPr lang="de-DE"/>
          </a:p>
        </c:txPr>
        <c:crossAx val="66700800"/>
        <c:crosses val="autoZero"/>
        <c:auto val="1"/>
        <c:lblAlgn val="ctr"/>
        <c:lblOffset val="100"/>
        <c:tickLblSkip val="3"/>
        <c:tickMarkSkip val="1"/>
      </c:catAx>
      <c:valAx>
        <c:axId val="66700800"/>
        <c:scaling>
          <c:orientation val="minMax"/>
          <c:min val="15"/>
        </c:scaling>
        <c:axPos val="l"/>
        <c:majorGridlines>
          <c:spPr>
            <a:ln w="12700">
              <a:solidFill>
                <a:srgbClr val="FFFFFF"/>
              </a:solidFill>
              <a:prstDash val="solid"/>
            </a:ln>
          </c:spPr>
        </c:majorGridlines>
        <c:title>
          <c:tx>
            <c:rich>
              <a:bodyPr rot="0" vert="horz"/>
              <a:lstStyle/>
              <a:p>
                <a:pPr algn="ctr">
                  <a:defRPr sz="1175" b="1" i="0" u="none" strike="noStrike" baseline="0">
                    <a:solidFill>
                      <a:srgbClr val="FFFFFF"/>
                    </a:solidFill>
                    <a:latin typeface="Arial"/>
                    <a:ea typeface="Arial"/>
                    <a:cs typeface="Arial"/>
                  </a:defRPr>
                </a:pPr>
                <a:r>
                  <a:rPr lang="de-DE"/>
                  <a:t>Ct / l
Ct / m³</a:t>
                </a:r>
              </a:p>
            </c:rich>
          </c:tx>
          <c:layout>
            <c:manualLayout>
              <c:xMode val="edge"/>
              <c:yMode val="edge"/>
              <c:x val="4.31371539318584E-2"/>
              <c:y val="9.7872396413173288E-2"/>
            </c:manualLayout>
          </c:layout>
          <c:spPr>
            <a:noFill/>
            <a:ln w="25400">
              <a:noFill/>
            </a:ln>
          </c:spPr>
        </c:title>
        <c:numFmt formatCode="0" sourceLinked="0"/>
        <c:majorTickMark val="none"/>
        <c:tickLblPos val="nextTo"/>
        <c:spPr>
          <a:ln w="9525">
            <a:noFill/>
          </a:ln>
        </c:spPr>
        <c:txPr>
          <a:bodyPr rot="0" vert="horz"/>
          <a:lstStyle/>
          <a:p>
            <a:pPr>
              <a:defRPr sz="1075" b="1" i="0" u="none" strike="noStrike" baseline="0">
                <a:solidFill>
                  <a:srgbClr val="333333"/>
                </a:solidFill>
                <a:latin typeface="Arial"/>
                <a:ea typeface="Arial"/>
                <a:cs typeface="Arial"/>
              </a:defRPr>
            </a:pPr>
            <a:endParaRPr lang="de-DE"/>
          </a:p>
        </c:txPr>
        <c:crossAx val="64871808"/>
        <c:crosses val="autoZero"/>
        <c:crossBetween val="midCat"/>
        <c:majorUnit val="10"/>
        <c:minorUnit val="1"/>
      </c:valAx>
      <c:spPr>
        <a:solidFill>
          <a:srgbClr val="C0C0C0"/>
        </a:solidFill>
        <a:ln w="25400">
          <a:noFill/>
        </a:ln>
      </c:spPr>
    </c:plotArea>
    <c:plotVisOnly val="1"/>
    <c:dispBlanksAs val="zero"/>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&amp;L&amp;"Arial,Fett"&amp;14Solarwärme lohnt sich&amp;R&amp;K&amp;D</c:oddHeader>
    </c:headerFooter>
    <c:pageMargins b="0.98425196899999956" l="0.78740157499999996" r="0.78740157499999996" t="0.98425196899999956" header="0.49212598450000161" footer="0.49212598450000161"/>
    <c:pageSetup paperSize="9" orientation="landscape" horizont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de-DE"/>
  <c:chart>
    <c:autoTitleDeleted val="1"/>
    <c:plotArea>
      <c:layout>
        <c:manualLayout>
          <c:layoutTarget val="inner"/>
          <c:xMode val="edge"/>
          <c:yMode val="edge"/>
          <c:x val="7.1498565045454196E-2"/>
          <c:y val="4.3147261593905716E-2"/>
          <c:w val="0.925100131931199"/>
          <c:h val="0.93894892880349834"/>
        </c:manualLayout>
      </c:layout>
      <c:lineChart>
        <c:grouping val="standard"/>
        <c:ser>
          <c:idx val="0"/>
          <c:order val="0"/>
          <c:tx>
            <c:strRef>
              <c:f>Solarwärme!$AB$11</c:f>
              <c:strCache>
                <c:ptCount val="1"/>
                <c:pt idx="0">
                  <c:v>Einsparung kummuliert</c:v>
                </c:pt>
              </c:strCache>
            </c:strRef>
          </c:tx>
          <c:spPr>
            <a:ln w="57150">
              <a:solidFill>
                <a:srgbClr val="FFC000"/>
              </a:solidFill>
            </a:ln>
          </c:spPr>
          <c:marker>
            <c:symbol val="none"/>
          </c:marker>
          <c:val>
            <c:numRef>
              <c:f>Solarwärme!$AB$12:$AB$41</c:f>
              <c:numCache>
                <c:formatCode>_-* #,##0\ [$€]_-;\-* #,##0\ [$€]_-;_-* "-"??\ [$€]_-;_-@_-</c:formatCode>
                <c:ptCount val="30"/>
                <c:pt idx="0">
                  <c:v>245</c:v>
                </c:pt>
                <c:pt idx="1">
                  <c:v>507.73</c:v>
                </c:pt>
                <c:pt idx="2">
                  <c:v>789.24173999999994</c:v>
                </c:pt>
                <c:pt idx="3">
                  <c:v>1090.64618432</c:v>
                </c:pt>
                <c:pt idx="4">
                  <c:v>1413.11680375276</c:v>
                </c:pt>
                <c:pt idx="5">
                  <c:v>1757.8930386816346</c:v>
                </c:pt>
                <c:pt idx="6">
                  <c:v>2126.2839531246018</c:v>
                </c:pt>
                <c:pt idx="7">
                  <c:v>2519.6720902136108</c:v>
                </c:pt>
                <c:pt idx="8">
                  <c:v>2939.5175401965239</c:v>
                </c:pt>
                <c:pt idx="9">
                  <c:v>3387.3622326588784</c:v>
                </c:pt>
                <c:pt idx="10">
                  <c:v>3864.8344653061899</c:v>
                </c:pt>
                <c:pt idx="11">
                  <c:v>4373.6536823264232</c:v>
                </c:pt>
                <c:pt idx="12">
                  <c:v>4915.6355160684798</c:v>
                </c:pt>
                <c:pt idx="13">
                  <c:v>5492.6971065282032</c:v>
                </c:pt>
                <c:pt idx="14">
                  <c:v>6106.862713930579</c:v>
                </c:pt>
                <c:pt idx="15">
                  <c:v>6760.2696405378656</c:v>
                </c:pt>
                <c:pt idx="16">
                  <c:v>7455.1744787006928</c:v>
                </c:pt>
                <c:pt idx="17">
                  <c:v>8193.9597031052726</c:v>
                </c:pt>
                <c:pt idx="18">
                  <c:v>8979.1406261574739</c:v>
                </c:pt>
                <c:pt idx="19">
                  <c:v>9813.3727364864117</c:v>
                </c:pt>
                <c:pt idx="20">
                  <c:v>10699.459441649466</c:v>
                </c:pt>
                <c:pt idx="21">
                  <c:v>11640.360237280302</c:v>
                </c:pt>
                <c:pt idx="22">
                  <c:v>12639.199326144955</c:v>
                </c:pt>
                <c:pt idx="23">
                  <c:v>13699.274711861821</c:v>
                </c:pt>
                <c:pt idx="24">
                  <c:v>14824.067793403134</c:v>
                </c:pt>
                <c:pt idx="25">
                  <c:v>16017.253487932219</c:v>
                </c:pt>
                <c:pt idx="26">
                  <c:v>17282.710911046459</c:v>
                </c:pt>
                <c:pt idx="27">
                  <c:v>18624.534645094987</c:v>
                </c:pt>
                <c:pt idx="28">
                  <c:v>20047.04662792712</c:v>
                </c:pt>
                <c:pt idx="29">
                  <c:v>21554.808696207358</c:v>
                </c:pt>
              </c:numCache>
            </c:numRef>
          </c:val>
        </c:ser>
        <c:marker val="1"/>
        <c:axId val="142209408"/>
        <c:axId val="142219520"/>
      </c:lineChart>
      <c:catAx>
        <c:axId val="142209408"/>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de-DE"/>
          </a:p>
        </c:txPr>
        <c:crossAx val="142219520"/>
        <c:crosses val="autoZero"/>
        <c:auto val="1"/>
        <c:lblAlgn val="ctr"/>
        <c:lblOffset val="100"/>
        <c:tickLblSkip val="1"/>
        <c:tickMarkSkip val="1"/>
      </c:catAx>
      <c:valAx>
        <c:axId val="142219520"/>
        <c:scaling>
          <c:orientation val="minMax"/>
        </c:scaling>
        <c:axPos val="l"/>
        <c:majorGridlines>
          <c:spPr>
            <a:ln w="3175">
              <a:solidFill>
                <a:srgbClr val="000000"/>
              </a:solidFill>
              <a:prstDash val="solid"/>
            </a:ln>
          </c:spPr>
        </c:majorGridlines>
        <c:numFmt formatCode="#,##0\ \€" sourceLinked="0"/>
        <c:tickLblPos val="nextTo"/>
        <c:spPr>
          <a:ln w="6350">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de-DE"/>
          </a:p>
        </c:txPr>
        <c:crossAx val="142209408"/>
        <c:crosses val="autoZero"/>
        <c:crossBetween val="between"/>
      </c:valAx>
      <c:spPr>
        <a:solidFill>
          <a:srgbClr val="C0C0C0"/>
        </a:solidFill>
        <a:ln w="12700">
          <a:solidFill>
            <a:srgbClr val="808080"/>
          </a:solidFill>
          <a:prstDash val="solid"/>
        </a:ln>
      </c:spPr>
    </c:plotArea>
    <c:legend>
      <c:legendPos val="r"/>
      <c:legendEntry>
        <c:idx val="0"/>
        <c:txPr>
          <a:bodyPr/>
          <a:lstStyle/>
          <a:p>
            <a:pPr algn="ctr">
              <a:defRPr lang="de-DE" sz="1800" b="0" i="0" u="none" strike="noStrike" kern="1200" baseline="0">
                <a:solidFill>
                  <a:srgbClr val="000000"/>
                </a:solidFill>
                <a:latin typeface="Arial"/>
                <a:ea typeface="Arial"/>
                <a:cs typeface="Arial"/>
              </a:defRPr>
            </a:pPr>
            <a:endParaRPr lang="de-DE"/>
          </a:p>
        </c:txPr>
      </c:legendEntry>
      <c:layout>
        <c:manualLayout>
          <c:xMode val="edge"/>
          <c:yMode val="edge"/>
          <c:x val="7.1103008204193269E-2"/>
          <c:y val="2.1531125629772649E-2"/>
          <c:w val="0.36463081130355568"/>
          <c:h val="0.17703369962257451"/>
        </c:manualLayout>
      </c:layout>
      <c:overlay val="1"/>
      <c:spPr>
        <a:noFill/>
        <a:ln w="3175">
          <a:noFill/>
          <a:prstDash val="solid"/>
        </a:ln>
      </c:spPr>
      <c:txPr>
        <a:bodyPr/>
        <a:lstStyle/>
        <a:p>
          <a:pPr algn="ctr" rtl="0">
            <a:defRPr lang="de-DE" sz="1800" b="0" i="0" u="none" strike="noStrike" kern="1200" baseline="0">
              <a:solidFill>
                <a:srgbClr val="000000"/>
              </a:solidFill>
              <a:latin typeface="Arial"/>
              <a:ea typeface="Arial"/>
              <a:cs typeface="Arial"/>
            </a:defRPr>
          </a:pPr>
          <a:endParaRPr lang="de-DE"/>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5" footer="0.5"/>
    <c:pageSetup paperSize="9" orientation="landscape" horizontalDpi="3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DE"/>
  <c:roundedCorners val="1"/>
  <c:chart>
    <c:autoTitleDeleted val="1"/>
    <c:plotArea>
      <c:layout>
        <c:manualLayout>
          <c:layoutTarget val="inner"/>
          <c:xMode val="edge"/>
          <c:yMode val="edge"/>
          <c:x val="0.10449058898237502"/>
          <c:y val="7.8431622854188907E-2"/>
          <c:w val="0.88687466847024499"/>
          <c:h val="0.88708783657308243"/>
        </c:manualLayout>
      </c:layout>
      <c:lineChart>
        <c:grouping val="standard"/>
        <c:ser>
          <c:idx val="0"/>
          <c:order val="0"/>
          <c:tx>
            <c:strRef>
              <c:f>Solarstrom!$Q$82</c:f>
              <c:strCache>
                <c:ptCount val="1"/>
                <c:pt idx="0">
                  <c:v>Kontostand</c:v>
                </c:pt>
              </c:strCache>
            </c:strRef>
          </c:tx>
          <c:spPr>
            <a:ln w="38100">
              <a:solidFill>
                <a:srgbClr val="0000FF"/>
              </a:solidFill>
              <a:prstDash val="solid"/>
            </a:ln>
          </c:spPr>
          <c:marker>
            <c:symbol val="circle"/>
            <c:size val="7"/>
            <c:spPr>
              <a:solidFill>
                <a:srgbClr val="0000FF"/>
              </a:solidFill>
              <a:ln>
                <a:solidFill>
                  <a:srgbClr val="0000FF"/>
                </a:solidFill>
                <a:prstDash val="solid"/>
              </a:ln>
            </c:spPr>
          </c:marker>
          <c:cat>
            <c:numRef>
              <c:f>Solarstrom!$A$83:$A$108</c:f>
              <c:numCache>
                <c:formatCode>@</c:formatCode>
                <c:ptCount val="26"/>
                <c:pt idx="0" formatCode="&quot;Installationsjahr&quot;\ #">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numCache>
            </c:numRef>
          </c:cat>
          <c:val>
            <c:numRef>
              <c:f>Solarstrom!$Q$83:$Q$108</c:f>
              <c:numCache>
                <c:formatCode>#,##0\ "€"</c:formatCode>
                <c:ptCount val="26"/>
                <c:pt idx="0">
                  <c:v>-32895.53873937</c:v>
                </c:pt>
                <c:pt idx="1">
                  <c:v>-30573.077478740001</c:v>
                </c:pt>
                <c:pt idx="2">
                  <c:v>-28250.616218110001</c:v>
                </c:pt>
                <c:pt idx="3">
                  <c:v>-25928.154957480001</c:v>
                </c:pt>
                <c:pt idx="4">
                  <c:v>-23605.693696850001</c:v>
                </c:pt>
                <c:pt idx="5">
                  <c:v>-21283.232436220002</c:v>
                </c:pt>
                <c:pt idx="6">
                  <c:v>-18960.771175590002</c:v>
                </c:pt>
                <c:pt idx="7">
                  <c:v>-16638.309914960002</c:v>
                </c:pt>
                <c:pt idx="8">
                  <c:v>-14315.848654330002</c:v>
                </c:pt>
                <c:pt idx="9">
                  <c:v>-11993.387393700003</c:v>
                </c:pt>
                <c:pt idx="10">
                  <c:v>-9670.9261330700028</c:v>
                </c:pt>
                <c:pt idx="11">
                  <c:v>-7348.4648724400031</c:v>
                </c:pt>
                <c:pt idx="12">
                  <c:v>-5026.0036118100033</c:v>
                </c:pt>
                <c:pt idx="13">
                  <c:v>-2703.5423511800032</c:v>
                </c:pt>
                <c:pt idx="14">
                  <c:v>-381.08109055000295</c:v>
                </c:pt>
                <c:pt idx="15">
                  <c:v>1941.3801700799972</c:v>
                </c:pt>
                <c:pt idx="16">
                  <c:v>4263.8414307099974</c:v>
                </c:pt>
                <c:pt idx="17">
                  <c:v>6586.3026913399972</c:v>
                </c:pt>
                <c:pt idx="18">
                  <c:v>8908.7639519699969</c:v>
                </c:pt>
                <c:pt idx="19">
                  <c:v>11231.225212599997</c:v>
                </c:pt>
                <c:pt idx="20">
                  <c:v>13553.686473229996</c:v>
                </c:pt>
                <c:pt idx="21">
                  <c:v>13403.956473229997</c:v>
                </c:pt>
                <c:pt idx="22">
                  <c:v>13254.226473229997</c:v>
                </c:pt>
                <c:pt idx="23">
                  <c:v>13104.496473229998</c:v>
                </c:pt>
                <c:pt idx="24">
                  <c:v>12954.766473229998</c:v>
                </c:pt>
                <c:pt idx="25">
                  <c:v>12805.036473229999</c:v>
                </c:pt>
              </c:numCache>
            </c:numRef>
          </c:val>
        </c:ser>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axId val="61955456"/>
        <c:axId val="63001728"/>
      </c:lineChart>
      <c:catAx>
        <c:axId val="61955456"/>
        <c:scaling>
          <c:orientation val="minMax"/>
        </c:scaling>
        <c:axPos val="b"/>
        <c:numFmt formatCode="General" sourceLinked="0"/>
        <c:tickLblPos val="nextTo"/>
        <c:spPr>
          <a:ln w="3175">
            <a:solidFill>
              <a:srgbClr val="000000"/>
            </a:solidFill>
            <a:prstDash val="solid"/>
          </a:ln>
        </c:spPr>
        <c:txPr>
          <a:bodyPr rot="-2160000" vert="horz"/>
          <a:lstStyle/>
          <a:p>
            <a:pPr>
              <a:defRPr sz="1400" b="1" i="0" u="none" strike="noStrike" baseline="0">
                <a:solidFill>
                  <a:srgbClr val="000000"/>
                </a:solidFill>
                <a:latin typeface="Arial"/>
                <a:ea typeface="Arial"/>
                <a:cs typeface="Arial"/>
              </a:defRPr>
            </a:pPr>
            <a:endParaRPr lang="de-DE"/>
          </a:p>
        </c:txPr>
        <c:crossAx val="63001728"/>
        <c:crosses val="autoZero"/>
        <c:auto val="1"/>
        <c:lblAlgn val="ctr"/>
        <c:lblOffset val="0"/>
        <c:tickLblSkip val="1"/>
        <c:tickMarkSkip val="1"/>
      </c:catAx>
      <c:valAx>
        <c:axId val="63001728"/>
        <c:scaling>
          <c:orientation val="minMax"/>
        </c:scaling>
        <c:axPos val="l"/>
        <c:majorGridlines>
          <c:spPr>
            <a:ln w="3175">
              <a:solidFill>
                <a:srgbClr val="000000"/>
              </a:solidFill>
              <a:prstDash val="solid"/>
            </a:ln>
          </c:spPr>
        </c:majorGridlines>
        <c:numFmt formatCode="#,##0\ \€;[Red]\-#,##0\ \€" sourceLinked="0"/>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61955456"/>
        <c:crosses val="autoZero"/>
        <c:crossBetween val="between"/>
      </c:valAx>
      <c:spPr>
        <a:gradFill rotWithShape="0">
          <a:gsLst>
            <a:gs pos="0">
              <a:schemeClr val="bg1">
                <a:lumMod val="85000"/>
              </a:schemeClr>
            </a:gs>
            <a:gs pos="100000">
              <a:srgbClr val="969696"/>
            </a:gs>
          </a:gsLst>
          <a:lin ang="5400000" scaled="1"/>
        </a:gradFill>
        <a:ln w="12700">
          <a:solidFill>
            <a:srgbClr val="C0C0C0"/>
          </a:solidFill>
          <a:prstDash val="solid"/>
        </a:ln>
      </c:spPr>
    </c:plotArea>
    <c:legend>
      <c:legendPos val="r"/>
      <c:legendEntry>
        <c:idx val="0"/>
        <c:txPr>
          <a:bodyPr/>
          <a:lstStyle/>
          <a:p>
            <a:pPr>
              <a:defRPr sz="2000" b="1" i="0" u="none" strike="noStrike" baseline="0">
                <a:solidFill>
                  <a:srgbClr val="000000"/>
                </a:solidFill>
                <a:latin typeface="Arial"/>
                <a:ea typeface="Arial"/>
                <a:cs typeface="Arial"/>
              </a:defRPr>
            </a:pPr>
            <a:endParaRPr lang="de-DE"/>
          </a:p>
        </c:txPr>
      </c:legendEntry>
      <c:layout>
        <c:manualLayout>
          <c:xMode val="edge"/>
          <c:yMode val="edge"/>
          <c:x val="0.10461541317934843"/>
          <c:y val="7.5837782355314062E-2"/>
          <c:w val="0.21440091600641994"/>
          <c:h val="0.12874801716135043"/>
        </c:manualLayout>
      </c:layout>
      <c:spPr>
        <a:noFill/>
        <a:ln w="25400">
          <a:noFill/>
        </a:ln>
      </c:spPr>
      <c:txPr>
        <a:bodyPr/>
        <a:lstStyle/>
        <a:p>
          <a:pPr>
            <a:defRPr sz="2000" b="1" i="0" u="none" strike="noStrike" baseline="0">
              <a:solidFill>
                <a:srgbClr val="000000"/>
              </a:solidFill>
              <a:latin typeface="Arial"/>
              <a:ea typeface="Arial"/>
              <a:cs typeface="Arial"/>
            </a:defRPr>
          </a:pPr>
          <a:endParaRPr lang="de-DE"/>
        </a:p>
      </c:txPr>
    </c:legend>
    <c:plotVisOnly val="1"/>
    <c:dispBlanksAs val="gap"/>
  </c:chart>
  <c:spPr>
    <a:solidFill>
      <a:schemeClr val="accent6">
        <a:lumMod val="60000"/>
        <a:lumOff val="40000"/>
      </a:schemeClr>
    </a:solidFill>
    <a:ln w="9525">
      <a:noFill/>
    </a:ln>
  </c:spPr>
  <c:txPr>
    <a:bodyPr/>
    <a:lstStyle/>
    <a:p>
      <a:pPr>
        <a:defRPr sz="1400" b="1"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61" footer="0.4921259845000016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de-DE"/>
  <c:roundedCorners val="1"/>
  <c:chart>
    <c:plotArea>
      <c:layout/>
      <c:lineChart>
        <c:grouping val="standard"/>
        <c:ser>
          <c:idx val="0"/>
          <c:order val="0"/>
        </c:ser>
        <c:ser>
          <c:idx val="1"/>
          <c:order val="1"/>
        </c:ser>
        <c:marker val="1"/>
        <c:axId val="63022592"/>
        <c:axId val="63024128"/>
      </c:lineChart>
      <c:catAx>
        <c:axId val="6302259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63024128"/>
        <c:crosses val="autoZero"/>
        <c:auto val="1"/>
        <c:lblAlgn val="ctr"/>
        <c:lblOffset val="100"/>
      </c:catAx>
      <c:valAx>
        <c:axId val="63024128"/>
        <c:scaling>
          <c:orientation val="minMax"/>
        </c:scaling>
        <c:axPos val="l"/>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63022592"/>
        <c:crosses val="autoZero"/>
        <c:crossBetween val="between"/>
      </c:valAx>
    </c:plotArea>
    <c:legend>
      <c:legendPos val="r"/>
      <c:layout>
        <c:manualLayout>
          <c:xMode val="edge"/>
          <c:yMode val="edge"/>
          <c:x val="0.38297872340425676"/>
          <c:y val="0.35714285714285804"/>
          <c:w val="0.42553191489361702"/>
          <c:h val="0.35714285714285804"/>
        </c:manualLayout>
      </c:layout>
      <c:txPr>
        <a:bodyPr/>
        <a:lstStyle/>
        <a:p>
          <a:pPr>
            <a:defRPr sz="650" b="0" i="0" u="none" strike="noStrike" baseline="0">
              <a:solidFill>
                <a:srgbClr val="000000"/>
              </a:solidFill>
              <a:latin typeface="Calibri"/>
              <a:ea typeface="Calibri"/>
              <a:cs typeface="Calibri"/>
            </a:defRPr>
          </a:pPr>
          <a:endParaRPr lang="de-DE"/>
        </a:p>
      </c:txPr>
    </c:legend>
    <c:plotVisOnly val="1"/>
    <c:dispBlanksAs val="gap"/>
  </c:chart>
  <c:spPr>
    <a:solidFill>
      <a:schemeClr val="accent6">
        <a:lumMod val="60000"/>
        <a:lumOff val="40000"/>
      </a:schemeClr>
    </a:solidFill>
    <a:ln w="9525" cap="flat" cmpd="sng" algn="ctr">
      <a:solidFill>
        <a:schemeClr val="accent1">
          <a:lumMod val="100000"/>
        </a:schemeClr>
      </a:solidFill>
      <a:prstDash val="solid"/>
      <a:round/>
      <a:headEnd type="none" w="med" len="med"/>
      <a:tailEnd type="none" w="med" len="med"/>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de-DE"/>
  <c:roundedCorners val="1"/>
  <c:chart>
    <c:plotArea>
      <c:layout>
        <c:manualLayout>
          <c:layoutTarget val="inner"/>
          <c:xMode val="edge"/>
          <c:yMode val="edge"/>
          <c:x val="0.15414449025745758"/>
          <c:y val="4.7292080657237938E-2"/>
          <c:w val="0.83127906559841358"/>
          <c:h val="0.782932167294075"/>
        </c:manualLayout>
      </c:layout>
      <c:lineChart>
        <c:grouping val="standard"/>
        <c:ser>
          <c:idx val="1"/>
          <c:order val="0"/>
          <c:tx>
            <c:strRef>
              <c:f>Tabelle1!$BT$15</c:f>
              <c:strCache>
                <c:ptCount val="1"/>
                <c:pt idx="0">
                  <c:v>Strompreis in ct/kWh</c:v>
                </c:pt>
              </c:strCache>
            </c:strRef>
          </c:tx>
          <c:spPr>
            <a:ln>
              <a:solidFill>
                <a:srgbClr val="FF0000"/>
              </a:solidFill>
            </a:ln>
          </c:spPr>
          <c:marker>
            <c:symbol val="diamond"/>
            <c:size val="8"/>
            <c:spPr>
              <a:solidFill>
                <a:srgbClr val="FF0000"/>
              </a:solidFill>
            </c:spPr>
          </c:marker>
          <c:dPt>
            <c:idx val="14"/>
            <c:spPr>
              <a:ln>
                <a:solidFill>
                  <a:srgbClr val="FF0000"/>
                </a:solidFill>
              </a:ln>
            </c:spPr>
          </c:dPt>
          <c:cat>
            <c:numRef>
              <c:f>Tabelle1!$BS$16:$BS$35</c:f>
              <c:numCache>
                <c:formatCode>@</c:formatCode>
                <c:ptCount val="20"/>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numCache>
            </c:numRef>
          </c:cat>
          <c:val>
            <c:numRef>
              <c:f>Tabelle1!$BT$16:$BT$35</c:f>
              <c:numCache>
                <c:formatCode>#,##0.0\ "ct/kWh"</c:formatCode>
                <c:ptCount val="20"/>
                <c:pt idx="0">
                  <c:v>28</c:v>
                </c:pt>
                <c:pt idx="1">
                  <c:v>28</c:v>
                </c:pt>
                <c:pt idx="2">
                  <c:v>28</c:v>
                </c:pt>
                <c:pt idx="3">
                  <c:v>28</c:v>
                </c:pt>
                <c:pt idx="4">
                  <c:v>28</c:v>
                </c:pt>
                <c:pt idx="5">
                  <c:v>28</c:v>
                </c:pt>
                <c:pt idx="6">
                  <c:v>28</c:v>
                </c:pt>
                <c:pt idx="7">
                  <c:v>28</c:v>
                </c:pt>
                <c:pt idx="8">
                  <c:v>28</c:v>
                </c:pt>
                <c:pt idx="9">
                  <c:v>28</c:v>
                </c:pt>
                <c:pt idx="10">
                  <c:v>28</c:v>
                </c:pt>
                <c:pt idx="11">
                  <c:v>28</c:v>
                </c:pt>
                <c:pt idx="12">
                  <c:v>28</c:v>
                </c:pt>
                <c:pt idx="13">
                  <c:v>28</c:v>
                </c:pt>
                <c:pt idx="14">
                  <c:v>28</c:v>
                </c:pt>
                <c:pt idx="15">
                  <c:v>28</c:v>
                </c:pt>
                <c:pt idx="16">
                  <c:v>28</c:v>
                </c:pt>
                <c:pt idx="17">
                  <c:v>28</c:v>
                </c:pt>
                <c:pt idx="18">
                  <c:v>28</c:v>
                </c:pt>
                <c:pt idx="19">
                  <c:v>28</c:v>
                </c:pt>
              </c:numCache>
            </c:numRef>
          </c:val>
        </c:ser>
        <c:ser>
          <c:idx val="2"/>
          <c:order val="1"/>
          <c:tx>
            <c:strRef>
              <c:f>Tabelle1!$BU$15</c:f>
              <c:strCache>
                <c:ptCount val="1"/>
                <c:pt idx="0">
                  <c:v>Stromgestehungskosten in ct/kWh</c:v>
                </c:pt>
              </c:strCache>
            </c:strRef>
          </c:tx>
          <c:spPr>
            <a:ln>
              <a:solidFill>
                <a:srgbClr val="00FF00"/>
              </a:solidFill>
            </a:ln>
          </c:spPr>
          <c:marker>
            <c:symbol val="diamond"/>
            <c:size val="8"/>
            <c:spPr>
              <a:solidFill>
                <a:srgbClr val="00FF00"/>
              </a:solidFill>
            </c:spPr>
          </c:marker>
          <c:cat>
            <c:numRef>
              <c:f>Tabelle1!$BS$16:$BS$35</c:f>
              <c:numCache>
                <c:formatCode>@</c:formatCode>
                <c:ptCount val="20"/>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numCache>
            </c:numRef>
          </c:cat>
          <c:val>
            <c:numRef>
              <c:f>Tabelle1!$BU$16:$BU$35</c:f>
              <c:numCache>
                <c:formatCode>#,##0.0\ "ct/kWh"</c:formatCode>
                <c:ptCount val="20"/>
                <c:pt idx="0">
                  <c:v>10.02205152706825</c:v>
                </c:pt>
                <c:pt idx="1">
                  <c:v>10.02205152706825</c:v>
                </c:pt>
                <c:pt idx="2">
                  <c:v>10.02205152706825</c:v>
                </c:pt>
                <c:pt idx="3">
                  <c:v>10.02205152706825</c:v>
                </c:pt>
                <c:pt idx="4">
                  <c:v>10.02205152706825</c:v>
                </c:pt>
                <c:pt idx="5">
                  <c:v>10.02205152706825</c:v>
                </c:pt>
                <c:pt idx="6">
                  <c:v>10.02205152706825</c:v>
                </c:pt>
                <c:pt idx="7">
                  <c:v>10.02205152706825</c:v>
                </c:pt>
                <c:pt idx="8">
                  <c:v>10.02205152706825</c:v>
                </c:pt>
                <c:pt idx="9">
                  <c:v>10.02205152706825</c:v>
                </c:pt>
                <c:pt idx="10">
                  <c:v>10.02205152706825</c:v>
                </c:pt>
                <c:pt idx="11">
                  <c:v>10.02205152706825</c:v>
                </c:pt>
                <c:pt idx="12">
                  <c:v>10.02205152706825</c:v>
                </c:pt>
                <c:pt idx="13">
                  <c:v>10.02205152706825</c:v>
                </c:pt>
                <c:pt idx="14">
                  <c:v>10.02205152706825</c:v>
                </c:pt>
                <c:pt idx="15">
                  <c:v>10.02205152706825</c:v>
                </c:pt>
                <c:pt idx="16">
                  <c:v>10.02205152706825</c:v>
                </c:pt>
                <c:pt idx="17">
                  <c:v>10.02205152706825</c:v>
                </c:pt>
                <c:pt idx="18">
                  <c:v>10.02205152706825</c:v>
                </c:pt>
                <c:pt idx="19">
                  <c:v>10.02205152706825</c:v>
                </c:pt>
              </c:numCache>
            </c:numRef>
          </c:val>
        </c:ser>
        <c:marker val="1"/>
        <c:axId val="63040512"/>
        <c:axId val="63059072"/>
      </c:lineChart>
      <c:catAx>
        <c:axId val="63040512"/>
        <c:scaling>
          <c:orientation val="minMax"/>
        </c:scaling>
        <c:axPos val="b"/>
        <c:numFmt formatCode="@" sourceLinked="1"/>
        <c:tickLblPos val="nextTo"/>
        <c:txPr>
          <a:bodyPr rot="-2160000" vert="horz"/>
          <a:lstStyle/>
          <a:p>
            <a:pPr>
              <a:defRPr sz="1400" b="1" i="0" u="none" strike="noStrike" baseline="0">
                <a:solidFill>
                  <a:srgbClr val="000000"/>
                </a:solidFill>
                <a:latin typeface="Arial"/>
                <a:ea typeface="Arial"/>
                <a:cs typeface="Arial"/>
              </a:defRPr>
            </a:pPr>
            <a:endParaRPr lang="de-DE"/>
          </a:p>
        </c:txPr>
        <c:crossAx val="63059072"/>
        <c:crosses val="autoZero"/>
        <c:auto val="1"/>
        <c:lblAlgn val="ctr"/>
        <c:lblOffset val="100"/>
      </c:catAx>
      <c:valAx>
        <c:axId val="63059072"/>
        <c:scaling>
          <c:orientation val="minMax"/>
        </c:scaling>
        <c:axPos val="l"/>
        <c:majorGridlines/>
        <c:numFmt formatCode="#,##0.0\ &quot;ct/kWh&quot;" sourceLinked="1"/>
        <c:tickLblPos val="nextTo"/>
        <c:txPr>
          <a:bodyPr rot="0" vert="horz"/>
          <a:lstStyle/>
          <a:p>
            <a:pPr>
              <a:defRPr sz="1400" b="1" i="0" u="none" strike="noStrike" baseline="0">
                <a:solidFill>
                  <a:srgbClr val="000000"/>
                </a:solidFill>
                <a:latin typeface="Arial"/>
                <a:ea typeface="Arial"/>
                <a:cs typeface="Arial"/>
              </a:defRPr>
            </a:pPr>
            <a:endParaRPr lang="de-DE"/>
          </a:p>
        </c:txPr>
        <c:crossAx val="63040512"/>
        <c:crosses val="autoZero"/>
        <c:crossBetween val="between"/>
      </c:valAx>
      <c:spPr>
        <a:gradFill>
          <a:gsLst>
            <a:gs pos="0">
              <a:schemeClr val="bg1">
                <a:lumMod val="85000"/>
              </a:schemeClr>
            </a:gs>
            <a:gs pos="100000">
              <a:srgbClr val="969696"/>
            </a:gs>
          </a:gsLst>
          <a:lin ang="5400000" scaled="1"/>
        </a:gradFill>
      </c:spPr>
    </c:plotArea>
    <c:legend>
      <c:legendPos val="r"/>
      <c:layout>
        <c:manualLayout>
          <c:xMode val="edge"/>
          <c:yMode val="edge"/>
          <c:x val="0.15126058178330493"/>
          <c:y val="4.5699044698853046E-2"/>
          <c:w val="0.76612338134305069"/>
          <c:h val="0.10377214228839669"/>
        </c:manualLayout>
      </c:layout>
      <c:overlay val="1"/>
      <c:spPr>
        <a:ln>
          <a:noFill/>
        </a:ln>
      </c:spPr>
      <c:txPr>
        <a:bodyPr/>
        <a:lstStyle/>
        <a:p>
          <a:pPr>
            <a:defRPr lang="de-DE" sz="1600" b="1" i="0" u="none" strike="noStrike" kern="1200" baseline="0">
              <a:solidFill>
                <a:srgbClr val="000000"/>
              </a:solidFill>
              <a:latin typeface="Arial"/>
              <a:ea typeface="Arial"/>
              <a:cs typeface="Arial"/>
            </a:defRPr>
          </a:pPr>
          <a:endParaRPr lang="de-DE"/>
        </a:p>
      </c:txPr>
    </c:legend>
    <c:plotVisOnly val="1"/>
    <c:dispBlanksAs val="gap"/>
  </c:chart>
  <c:spPr>
    <a:solidFill>
      <a:schemeClr val="accent6">
        <a:lumMod val="60000"/>
        <a:lumOff val="40000"/>
      </a:schemeClr>
    </a:solidFill>
    <a:ln>
      <a:noFill/>
    </a:ln>
  </c:spPr>
  <c:txPr>
    <a:bodyPr/>
    <a:lstStyle/>
    <a:p>
      <a:pPr>
        <a:defRPr sz="1400" b="1" i="0" u="none" strike="noStrike" baseline="0">
          <a:solidFill>
            <a:srgbClr val="000000"/>
          </a:solidFill>
          <a:latin typeface="Arial"/>
          <a:ea typeface="Arial"/>
          <a:cs typeface="Arial"/>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de-DE"/>
  <c:roundedCorners val="1"/>
  <c:chart>
    <c:plotArea>
      <c:layout>
        <c:manualLayout>
          <c:layoutTarget val="inner"/>
          <c:xMode val="edge"/>
          <c:yMode val="edge"/>
          <c:x val="0.13454109597622058"/>
          <c:y val="4.2441752012415214E-2"/>
          <c:w val="0.85885878185653697"/>
          <c:h val="0.78778249593889804"/>
        </c:manualLayout>
      </c:layout>
      <c:lineChart>
        <c:grouping val="standard"/>
        <c:ser>
          <c:idx val="0"/>
          <c:order val="0"/>
          <c:tx>
            <c:strRef>
              <c:f>Tabelle1!$BV$15</c:f>
              <c:strCache>
                <c:ptCount val="1"/>
                <c:pt idx="0">
                  <c:v>Stromkosten ohne PV</c:v>
                </c:pt>
              </c:strCache>
            </c:strRef>
          </c:tx>
          <c:spPr>
            <a:ln>
              <a:solidFill>
                <a:srgbClr val="FF0000"/>
              </a:solidFill>
            </a:ln>
          </c:spPr>
          <c:marker>
            <c:spPr>
              <a:solidFill>
                <a:srgbClr val="FF0000"/>
              </a:solidFill>
              <a:ln>
                <a:solidFill>
                  <a:srgbClr val="FF0000"/>
                </a:solidFill>
              </a:ln>
            </c:spPr>
          </c:marker>
          <c:cat>
            <c:numRef>
              <c:f>Tabelle1!$BS$16:$BS$35</c:f>
              <c:numCache>
                <c:formatCode>@</c:formatCode>
                <c:ptCount val="20"/>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numCache>
            </c:numRef>
          </c:cat>
          <c:val>
            <c:numRef>
              <c:f>Tabelle1!$BV$16:$BV$35</c:f>
              <c:numCache>
                <c:formatCode>_-* #,##0\ "€"_-;\-* #,##0\ "€"_-;_-* "-"\ "€"_-;_-@_-</c:formatCode>
                <c:ptCount val="20"/>
                <c:pt idx="0">
                  <c:v>1120</c:v>
                </c:pt>
                <c:pt idx="1">
                  <c:v>1120</c:v>
                </c:pt>
                <c:pt idx="2">
                  <c:v>1120</c:v>
                </c:pt>
                <c:pt idx="3">
                  <c:v>1120</c:v>
                </c:pt>
                <c:pt idx="4">
                  <c:v>1120</c:v>
                </c:pt>
                <c:pt idx="5">
                  <c:v>1120</c:v>
                </c:pt>
                <c:pt idx="6">
                  <c:v>1120</c:v>
                </c:pt>
                <c:pt idx="7">
                  <c:v>1120</c:v>
                </c:pt>
                <c:pt idx="8">
                  <c:v>1120</c:v>
                </c:pt>
                <c:pt idx="9">
                  <c:v>1120</c:v>
                </c:pt>
                <c:pt idx="10">
                  <c:v>1120</c:v>
                </c:pt>
                <c:pt idx="11">
                  <c:v>1120</c:v>
                </c:pt>
                <c:pt idx="12">
                  <c:v>1120</c:v>
                </c:pt>
                <c:pt idx="13">
                  <c:v>1120</c:v>
                </c:pt>
                <c:pt idx="14">
                  <c:v>1120</c:v>
                </c:pt>
                <c:pt idx="15">
                  <c:v>1120</c:v>
                </c:pt>
                <c:pt idx="16">
                  <c:v>1120</c:v>
                </c:pt>
                <c:pt idx="17">
                  <c:v>1120</c:v>
                </c:pt>
                <c:pt idx="18">
                  <c:v>1120</c:v>
                </c:pt>
                <c:pt idx="19">
                  <c:v>1120</c:v>
                </c:pt>
              </c:numCache>
            </c:numRef>
          </c:val>
        </c:ser>
        <c:ser>
          <c:idx val="1"/>
          <c:order val="1"/>
          <c:tx>
            <c:strRef>
              <c:f>Tabelle1!$BW$15</c:f>
              <c:strCache>
                <c:ptCount val="1"/>
                <c:pt idx="0">
                  <c:v>Stromkosten mit PV</c:v>
                </c:pt>
              </c:strCache>
            </c:strRef>
          </c:tx>
          <c:spPr>
            <a:ln>
              <a:solidFill>
                <a:srgbClr val="00FF00"/>
              </a:solidFill>
            </a:ln>
          </c:spPr>
          <c:marker>
            <c:symbol val="diamond"/>
            <c:size val="7"/>
            <c:spPr>
              <a:solidFill>
                <a:srgbClr val="00FF00"/>
              </a:solidFill>
              <a:ln>
                <a:solidFill>
                  <a:srgbClr val="00FF00"/>
                </a:solidFill>
              </a:ln>
            </c:spPr>
          </c:marker>
          <c:cat>
            <c:numRef>
              <c:f>Tabelle1!$BS$16:$BS$35</c:f>
              <c:numCache>
                <c:formatCode>@</c:formatCode>
                <c:ptCount val="20"/>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numCache>
            </c:numRef>
          </c:cat>
          <c:val>
            <c:numRef>
              <c:f>Tabelle1!$BW$16:$BW$35</c:f>
              <c:numCache>
                <c:formatCode>_-* #,##0\ "€"_-;\-* #,##0\ "€"_-;_-* "-"\ "€"_-;_-@_-</c:formatCode>
                <c:ptCount val="20"/>
                <c:pt idx="0">
                  <c:v>1120</c:v>
                </c:pt>
                <c:pt idx="1">
                  <c:v>1120</c:v>
                </c:pt>
                <c:pt idx="2">
                  <c:v>1120</c:v>
                </c:pt>
                <c:pt idx="3">
                  <c:v>1120</c:v>
                </c:pt>
                <c:pt idx="4">
                  <c:v>1120</c:v>
                </c:pt>
                <c:pt idx="5">
                  <c:v>1120</c:v>
                </c:pt>
                <c:pt idx="6">
                  <c:v>1120</c:v>
                </c:pt>
                <c:pt idx="7">
                  <c:v>1120</c:v>
                </c:pt>
                <c:pt idx="8">
                  <c:v>1120</c:v>
                </c:pt>
                <c:pt idx="9">
                  <c:v>1120</c:v>
                </c:pt>
                <c:pt idx="10">
                  <c:v>1120</c:v>
                </c:pt>
                <c:pt idx="11">
                  <c:v>1120</c:v>
                </c:pt>
                <c:pt idx="12">
                  <c:v>1120</c:v>
                </c:pt>
                <c:pt idx="13">
                  <c:v>1120</c:v>
                </c:pt>
                <c:pt idx="14">
                  <c:v>1120</c:v>
                </c:pt>
                <c:pt idx="15">
                  <c:v>1120</c:v>
                </c:pt>
                <c:pt idx="16">
                  <c:v>1120</c:v>
                </c:pt>
                <c:pt idx="17">
                  <c:v>1120</c:v>
                </c:pt>
                <c:pt idx="18">
                  <c:v>1120</c:v>
                </c:pt>
                <c:pt idx="19">
                  <c:v>1120</c:v>
                </c:pt>
              </c:numCache>
            </c:numRef>
          </c:val>
        </c:ser>
        <c:marker val="1"/>
        <c:axId val="63087360"/>
        <c:axId val="63089280"/>
      </c:lineChart>
      <c:catAx>
        <c:axId val="63087360"/>
        <c:scaling>
          <c:orientation val="minMax"/>
        </c:scaling>
        <c:axPos val="b"/>
        <c:numFmt formatCode="@" sourceLinked="1"/>
        <c:tickLblPos val="nextTo"/>
        <c:txPr>
          <a:bodyPr rot="-2160000" vert="horz"/>
          <a:lstStyle/>
          <a:p>
            <a:pPr>
              <a:defRPr sz="1400" b="1" i="0" u="none" strike="noStrike" baseline="0">
                <a:solidFill>
                  <a:srgbClr val="000000"/>
                </a:solidFill>
                <a:latin typeface="Arial"/>
                <a:ea typeface="Arial"/>
                <a:cs typeface="Arial"/>
              </a:defRPr>
            </a:pPr>
            <a:endParaRPr lang="de-DE"/>
          </a:p>
        </c:txPr>
        <c:crossAx val="63089280"/>
        <c:crosses val="autoZero"/>
        <c:auto val="1"/>
        <c:lblAlgn val="ctr"/>
        <c:lblOffset val="100"/>
      </c:catAx>
      <c:valAx>
        <c:axId val="63089280"/>
        <c:scaling>
          <c:orientation val="minMax"/>
        </c:scaling>
        <c:axPos val="l"/>
        <c:majorGridlines/>
        <c:numFmt formatCode="#,##0\ \€" sourceLinked="0"/>
        <c:tickLblPos val="nextTo"/>
        <c:txPr>
          <a:bodyPr rot="0" vert="horz"/>
          <a:lstStyle/>
          <a:p>
            <a:pPr>
              <a:defRPr sz="1400" b="1" i="0" u="none" strike="noStrike" baseline="0">
                <a:solidFill>
                  <a:srgbClr val="000000"/>
                </a:solidFill>
                <a:latin typeface="Arial"/>
                <a:ea typeface="Arial"/>
                <a:cs typeface="Arial"/>
              </a:defRPr>
            </a:pPr>
            <a:endParaRPr lang="de-DE"/>
          </a:p>
        </c:txPr>
        <c:crossAx val="63087360"/>
        <c:crosses val="autoZero"/>
        <c:crossBetween val="between"/>
      </c:valAx>
      <c:spPr>
        <a:gradFill>
          <a:gsLst>
            <a:gs pos="0">
              <a:schemeClr val="bg1">
                <a:lumMod val="85000"/>
              </a:schemeClr>
            </a:gs>
            <a:gs pos="100000">
              <a:srgbClr val="969696"/>
            </a:gs>
          </a:gsLst>
          <a:lin ang="5400000" scaled="1"/>
        </a:gradFill>
      </c:spPr>
    </c:plotArea>
    <c:legend>
      <c:legendPos val="r"/>
      <c:layout>
        <c:manualLayout>
          <c:xMode val="edge"/>
          <c:yMode val="edge"/>
          <c:x val="0.13043492461299475"/>
          <c:y val="3.4946328299122933E-2"/>
          <c:w val="0.72592421654401462"/>
          <c:h val="0.11005023662629665"/>
        </c:manualLayout>
      </c:layout>
      <c:spPr>
        <a:noFill/>
        <a:ln>
          <a:noFill/>
        </a:ln>
      </c:spPr>
      <c:txPr>
        <a:bodyPr/>
        <a:lstStyle/>
        <a:p>
          <a:pPr>
            <a:defRPr lang="de-DE" sz="1600" b="1" i="0" u="none" strike="noStrike" kern="1200" baseline="0">
              <a:solidFill>
                <a:srgbClr val="000000"/>
              </a:solidFill>
              <a:latin typeface="Arial"/>
              <a:ea typeface="Arial"/>
              <a:cs typeface="Arial"/>
            </a:defRPr>
          </a:pPr>
          <a:endParaRPr lang="de-DE"/>
        </a:p>
      </c:txPr>
    </c:legend>
    <c:plotVisOnly val="1"/>
    <c:dispBlanksAs val="gap"/>
  </c:chart>
  <c:spPr>
    <a:solidFill>
      <a:schemeClr val="accent6">
        <a:lumMod val="60000"/>
        <a:lumOff val="40000"/>
      </a:schemeClr>
    </a:solidFill>
    <a:ln>
      <a:noFill/>
    </a:ln>
  </c:spPr>
  <c:txPr>
    <a:bodyPr/>
    <a:lstStyle/>
    <a:p>
      <a:pPr>
        <a:defRPr sz="1400" b="1" i="0" u="none" strike="noStrike" baseline="0">
          <a:solidFill>
            <a:srgbClr val="000000"/>
          </a:solidFill>
          <a:latin typeface="Arial"/>
          <a:ea typeface="Arial"/>
          <a:cs typeface="Arial"/>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1800" b="1" i="0" u="none" strike="noStrike" baseline="0">
                <a:solidFill>
                  <a:srgbClr val="000000"/>
                </a:solidFill>
                <a:latin typeface="Arial"/>
                <a:ea typeface="Arial"/>
                <a:cs typeface="Arial"/>
              </a:defRPr>
            </a:pPr>
            <a:r>
              <a:rPr lang="de-DE"/>
              <a:t>Ertrag pro Jahr</a:t>
            </a:r>
          </a:p>
        </c:rich>
      </c:tx>
      <c:layout/>
      <c:spPr>
        <a:noFill/>
        <a:ln w="25400">
          <a:noFill/>
        </a:ln>
      </c:spPr>
    </c:title>
    <c:view3D>
      <c:rotX val="30"/>
      <c:rotY val="200"/>
      <c:perspective val="0"/>
    </c:view3D>
    <c:plotArea>
      <c:layout>
        <c:manualLayout>
          <c:layoutTarget val="inner"/>
          <c:xMode val="edge"/>
          <c:yMode val="edge"/>
          <c:x val="0.13506510636301"/>
          <c:y val="0.32692512347959085"/>
          <c:w val="0.38181866606466908"/>
          <c:h val="0.58974728157102296"/>
        </c:manualLayout>
      </c:layout>
      <c:pie3DChart>
        <c:varyColors val="1"/>
        <c:ser>
          <c:idx val="0"/>
          <c:order val="0"/>
          <c:tx>
            <c:strRef>
              <c:f>Energiewende!$C$56</c:f>
              <c:strCache>
                <c:ptCount val="1"/>
                <c:pt idx="0">
                  <c:v>pro Jahr</c:v>
                </c:pt>
              </c:strCache>
            </c:strRef>
          </c:tx>
          <c:explosion val="25"/>
          <c:dPt>
            <c:idx val="0"/>
            <c:spPr>
              <a:solidFill>
                <a:srgbClr val="C0C0C0"/>
              </a:solidFill>
              <a:ln w="25400">
                <a:noFill/>
              </a:ln>
            </c:spPr>
          </c:dPt>
          <c:dPt>
            <c:idx val="1"/>
            <c:spPr>
              <a:solidFill>
                <a:srgbClr val="FFCC00"/>
              </a:solidFill>
              <a:ln w="25400">
                <a:noFill/>
              </a:ln>
            </c:spPr>
          </c:dPt>
          <c:cat>
            <c:strRef>
              <c:f>Energiewende!$D$54:$E$54</c:f>
              <c:strCache>
                <c:ptCount val="2"/>
                <c:pt idx="0">
                  <c:v>Solarstrom</c:v>
                </c:pt>
                <c:pt idx="1">
                  <c:v>Solares Heizen</c:v>
                </c:pt>
              </c:strCache>
            </c:strRef>
          </c:cat>
          <c:val>
            <c:numRef>
              <c:f>Energiewende!$D$56:$E$56</c:f>
              <c:numCache>
                <c:formatCode>_-* #,##0\ _D_M_-;\-* #,##0\ _D_M_-;_-* "-"??\ _D_M_-;_-@_-</c:formatCode>
                <c:ptCount val="2"/>
                <c:pt idx="0">
                  <c:v>27209</c:v>
                </c:pt>
                <c:pt idx="1">
                  <c:v>5940</c:v>
                </c:pt>
              </c:numCache>
            </c:numRef>
          </c:val>
        </c:ser>
      </c:pie3DChart>
      <c:spPr>
        <a:noFill/>
        <a:ln w="25400">
          <a:noFill/>
        </a:ln>
      </c:spPr>
    </c:plotArea>
    <c:legend>
      <c:legendPos val="r"/>
      <c:legendEntry>
        <c:idx val="0"/>
        <c:txPr>
          <a:bodyPr/>
          <a:lstStyle/>
          <a:p>
            <a:pPr>
              <a:defRPr sz="16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legendEntry>
      <c:legendEntry>
        <c:idx val="1"/>
        <c:txPr>
          <a:bodyPr/>
          <a:lstStyle/>
          <a:p>
            <a:pPr>
              <a:defRPr sz="16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legendEntry>
      <c:layout>
        <c:manualLayout>
          <c:xMode val="edge"/>
          <c:yMode val="edge"/>
          <c:x val="0.51913936240673852"/>
          <c:y val="0.32911392405063339"/>
          <c:w val="0.47129241656279969"/>
          <c:h val="0.58227848101265645"/>
        </c:manualLayout>
      </c:layout>
      <c:txPr>
        <a:bodyPr/>
        <a:lstStyle/>
        <a:p>
          <a:pPr>
            <a:defRPr sz="16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legend>
    <c:plotVisOnly val="1"/>
    <c:dispBlanksAs val="zero"/>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162" r="0.70000000000000162" t="0.78740157499999996" header="0.30000000000000032" footer="0.30000000000000032"/>
    <c:pageSetup paperSize="9" orientation="landscape" horizontalDpi="300"/>
  </c:printSettings>
</c:chartSpace>
</file>

<file path=xl/charts/chart8.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1800" b="1" i="0" u="none" strike="noStrike" baseline="0">
                <a:solidFill>
                  <a:srgbClr val="000000"/>
                </a:solidFill>
                <a:latin typeface="Arial"/>
                <a:ea typeface="Arial"/>
                <a:cs typeface="Arial"/>
              </a:defRPr>
            </a:pPr>
            <a:r>
              <a:rPr lang="de-DE"/>
              <a:t>Ergebnis nach 25 Jahren</a:t>
            </a:r>
          </a:p>
        </c:rich>
      </c:tx>
      <c:layout/>
      <c:spPr>
        <a:noFill/>
        <a:ln w="25400">
          <a:noFill/>
        </a:ln>
      </c:spPr>
    </c:title>
    <c:view3D>
      <c:depthPercent val="100"/>
      <c:rAngAx val="1"/>
    </c:view3D>
    <c:plotArea>
      <c:layout>
        <c:manualLayout>
          <c:layoutTarget val="inner"/>
          <c:xMode val="edge"/>
          <c:yMode val="edge"/>
          <c:x val="0.10324831834595999"/>
          <c:y val="0.17460371590933688"/>
          <c:w val="0.64617205976067404"/>
          <c:h val="0.77170940338873006"/>
        </c:manualLayout>
      </c:layout>
      <c:bar3DChart>
        <c:barDir val="col"/>
        <c:grouping val="clustered"/>
        <c:ser>
          <c:idx val="0"/>
          <c:order val="0"/>
          <c:tx>
            <c:strRef>
              <c:f>Energiewende!$C$57</c:f>
              <c:strCache>
                <c:ptCount val="1"/>
                <c:pt idx="0">
                  <c:v>#BEZUG!</c:v>
                </c:pt>
              </c:strCache>
            </c:strRef>
          </c:tx>
          <c:dPt>
            <c:idx val="0"/>
            <c:spPr>
              <a:solidFill>
                <a:srgbClr val="C0C0C0"/>
              </a:solidFill>
              <a:ln w="25400">
                <a:noFill/>
              </a:ln>
            </c:spPr>
          </c:dPt>
          <c:dPt>
            <c:idx val="1"/>
            <c:spPr>
              <a:solidFill>
                <a:srgbClr val="FFCC00"/>
              </a:solidFill>
              <a:ln w="25400">
                <a:noFill/>
              </a:ln>
            </c:spPr>
          </c:dPt>
          <c:cat>
            <c:strRef>
              <c:f>Energiewende!$D$54:$E$54</c:f>
              <c:strCache>
                <c:ptCount val="2"/>
                <c:pt idx="0">
                  <c:v>Solarstrom</c:v>
                </c:pt>
                <c:pt idx="1">
                  <c:v>Solares Heizen</c:v>
                </c:pt>
              </c:strCache>
            </c:strRef>
          </c:cat>
          <c:val>
            <c:numRef>
              <c:f>Energiewende!$D$57:$E$57</c:f>
              <c:numCache>
                <c:formatCode>_-* #,##0\ _D_M_-;\-* #,##0\ _D_M_-;_-* "-"??\ _D_M_-;_-@_-</c:formatCode>
                <c:ptCount val="2"/>
                <c:pt idx="0">
                  <c:v>13771.036473230022</c:v>
                </c:pt>
                <c:pt idx="1">
                  <c:v>7124.0677934031373</c:v>
                </c:pt>
              </c:numCache>
            </c:numRef>
          </c:val>
        </c:ser>
        <c:shape val="cylinder"/>
        <c:axId val="63200256"/>
        <c:axId val="63206144"/>
        <c:axId val="0"/>
      </c:bar3DChart>
      <c:catAx>
        <c:axId val="63200256"/>
        <c:scaling>
          <c:orientation val="minMax"/>
        </c:scaling>
        <c:delete val="1"/>
        <c:axPos val="b"/>
        <c:tickLblPos val="none"/>
        <c:crossAx val="63206144"/>
        <c:crosses val="autoZero"/>
        <c:auto val="1"/>
        <c:lblAlgn val="ctr"/>
        <c:lblOffset val="100"/>
      </c:catAx>
      <c:valAx>
        <c:axId val="63206144"/>
        <c:scaling>
          <c:orientation val="minMax"/>
          <c:min val="0"/>
        </c:scaling>
        <c:axPos val="l"/>
        <c:majorGridlines/>
        <c:numFmt formatCode="#,##0\ \€" sourceLinked="0"/>
        <c:tickLblPos val="nextTo"/>
        <c:txPr>
          <a:bodyPr rot="0" vert="horz"/>
          <a:lstStyle/>
          <a:p>
            <a:pPr>
              <a:defRPr sz="16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crossAx val="63200256"/>
        <c:crosses val="autoZero"/>
        <c:crossBetween val="between"/>
      </c:valAx>
      <c:spPr>
        <a:noFill/>
        <a:ln w="25400">
          <a:noFill/>
        </a:ln>
      </c:spPr>
    </c:plotArea>
    <c:legend>
      <c:legendPos val="r"/>
      <c:legendEntry>
        <c:idx val="0"/>
        <c:txPr>
          <a:bodyPr/>
          <a:lstStyle/>
          <a:p>
            <a:pPr>
              <a:defRPr sz="16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legendEntry>
      <c:legendEntry>
        <c:idx val="1"/>
        <c:txPr>
          <a:bodyPr/>
          <a:lstStyle/>
          <a:p>
            <a:pPr>
              <a:defRPr sz="16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legendEntry>
      <c:layout>
        <c:manualLayout>
          <c:xMode val="edge"/>
          <c:yMode val="edge"/>
          <c:x val="0.75510204081632648"/>
          <c:y val="0.25846192677573127"/>
          <c:w val="0.20510204081632696"/>
          <c:h val="0.33230819156879837"/>
        </c:manualLayout>
      </c:layout>
      <c:txPr>
        <a:bodyPr/>
        <a:lstStyle/>
        <a:p>
          <a:pPr>
            <a:defRPr sz="16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162" r="0.70000000000000162" t="0.78740157499999996" header="0.30000000000000032" footer="0.30000000000000032"/>
    <c:pageSetup paperSize="9" orientation="landscape" horizontalDpi="300"/>
  </c:printSettings>
</c:chartSpace>
</file>

<file path=xl/charts/chart9.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1800" b="1" i="0" u="none" strike="noStrike" baseline="0">
                <a:solidFill>
                  <a:srgbClr val="000000"/>
                </a:solidFill>
                <a:latin typeface="Arial"/>
                <a:ea typeface="Arial"/>
                <a:cs typeface="Arial"/>
              </a:defRPr>
            </a:pPr>
            <a:r>
              <a:rPr lang="de-DE"/>
              <a:t>Flächen - Verteilung</a:t>
            </a:r>
          </a:p>
        </c:rich>
      </c:tx>
      <c:layout>
        <c:manualLayout>
          <c:xMode val="edge"/>
          <c:yMode val="edge"/>
          <c:x val="0.2057296029485676"/>
          <c:y val="3.2257890840568015E-2"/>
        </c:manualLayout>
      </c:layout>
      <c:spPr>
        <a:noFill/>
        <a:ln w="25400">
          <a:noFill/>
        </a:ln>
      </c:spPr>
    </c:title>
    <c:view3D>
      <c:rotX val="30"/>
      <c:rotY val="100"/>
      <c:perspective val="0"/>
    </c:view3D>
    <c:plotArea>
      <c:layout>
        <c:manualLayout>
          <c:layoutTarget val="inner"/>
          <c:xMode val="edge"/>
          <c:yMode val="edge"/>
          <c:x val="0.14843787749704446"/>
          <c:y val="0.35483870967742004"/>
          <c:w val="0.35156339407194531"/>
          <c:h val="0.54193548387096757"/>
        </c:manualLayout>
      </c:layout>
      <c:pie3DChart>
        <c:varyColors val="1"/>
        <c:ser>
          <c:idx val="0"/>
          <c:order val="0"/>
          <c:tx>
            <c:strRef>
              <c:f>Energiewende!$C$55</c:f>
              <c:strCache>
                <c:ptCount val="1"/>
                <c:pt idx="0">
                  <c:v>0</c:v>
                </c:pt>
              </c:strCache>
            </c:strRef>
          </c:tx>
          <c:explosion val="25"/>
          <c:dPt>
            <c:idx val="0"/>
            <c:spPr>
              <a:solidFill>
                <a:srgbClr val="C0C0C0"/>
              </a:solidFill>
              <a:ln w="25400">
                <a:noFill/>
              </a:ln>
            </c:spPr>
          </c:dPt>
          <c:dPt>
            <c:idx val="1"/>
            <c:spPr>
              <a:solidFill>
                <a:srgbClr val="FFCC00"/>
              </a:solidFill>
              <a:ln w="25400">
                <a:noFill/>
              </a:ln>
            </c:spPr>
          </c:dPt>
          <c:cat>
            <c:strRef>
              <c:f>Energiewende!$D$54:$E$54</c:f>
              <c:strCache>
                <c:ptCount val="2"/>
                <c:pt idx="0">
                  <c:v>Solarstrom</c:v>
                </c:pt>
                <c:pt idx="1">
                  <c:v>Solares Heizen</c:v>
                </c:pt>
              </c:strCache>
            </c:strRef>
          </c:cat>
          <c:val>
            <c:numRef>
              <c:f>Energiewende!$D$55:$E$55</c:f>
              <c:numCache>
                <c:formatCode>_-* #,##0\ _D_M_-;\-* #,##0\ _D_M_-;_-* "-"??\ _D_M_-;_-@_-</c:formatCode>
                <c:ptCount val="2"/>
                <c:pt idx="0">
                  <c:v>187.45</c:v>
                </c:pt>
                <c:pt idx="1">
                  <c:v>14</c:v>
                </c:pt>
              </c:numCache>
            </c:numRef>
          </c:val>
        </c:ser>
      </c:pie3DChart>
      <c:spPr>
        <a:noFill/>
        <a:ln w="25400">
          <a:noFill/>
        </a:ln>
      </c:spPr>
    </c:plotArea>
    <c:legend>
      <c:legendPos val="r"/>
      <c:legendEntry>
        <c:idx val="0"/>
        <c:txPr>
          <a:bodyPr/>
          <a:lstStyle/>
          <a:p>
            <a:pPr>
              <a:defRPr sz="16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legendEntry>
      <c:legendEntry>
        <c:idx val="1"/>
        <c:txPr>
          <a:bodyPr/>
          <a:lstStyle/>
          <a:p>
            <a:pPr>
              <a:defRPr sz="16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legendEntry>
      <c:layout>
        <c:manualLayout>
          <c:xMode val="edge"/>
          <c:yMode val="edge"/>
          <c:x val="0.5515600446831086"/>
          <c:y val="0.24683544303797519"/>
          <c:w val="0.43884994859569082"/>
          <c:h val="0.64556962025316567"/>
        </c:manualLayout>
      </c:layout>
      <c:txPr>
        <a:bodyPr/>
        <a:lstStyle/>
        <a:p>
          <a:pPr>
            <a:defRPr sz="16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legend>
    <c:plotVisOnly val="1"/>
    <c:dispBlanksAs val="zero"/>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162" r="0.70000000000000162" t="0.78740157499999996"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202407</xdr:colOff>
      <xdr:row>24</xdr:row>
      <xdr:rowOff>133350</xdr:rowOff>
    </xdr:to>
    <xdr:graphicFrame macro="">
      <xdr:nvGraphicFramePr>
        <xdr:cNvPr id="7181"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76200</xdr:rowOff>
    </xdr:from>
    <xdr:to>
      <xdr:col>12</xdr:col>
      <xdr:colOff>9525</xdr:colOff>
      <xdr:row>67</xdr:row>
      <xdr:rowOff>180975</xdr:rowOff>
    </xdr:to>
    <xdr:graphicFrame macro="">
      <xdr:nvGraphicFramePr>
        <xdr:cNvPr id="7182" name="Chart 1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0.54495</cdr:x>
      <cdr:y>0.86928</cdr:y>
    </cdr:from>
    <cdr:to>
      <cdr:x>0.94832</cdr:x>
      <cdr:y>0.91867</cdr:y>
    </cdr:to>
    <cdr:sp macro="" textlink="">
      <cdr:nvSpPr>
        <cdr:cNvPr id="48129" name="Text Box 1025"/>
        <cdr:cNvSpPr txBox="1">
          <a:spLocks xmlns:a="http://schemas.openxmlformats.org/drawingml/2006/main" noChangeArrowheads="1"/>
        </cdr:cNvSpPr>
      </cdr:nvSpPr>
      <cdr:spPr bwMode="auto">
        <a:xfrm xmlns:a="http://schemas.openxmlformats.org/drawingml/2006/main">
          <a:off x="5662083" y="4328583"/>
          <a:ext cx="4198829" cy="2408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de-DE" sz="1075" b="0" i="0" u="none" strike="noStrike" baseline="0">
              <a:solidFill>
                <a:srgbClr val="FFFFFF"/>
              </a:solidFill>
              <a:latin typeface="Arial"/>
              <a:cs typeface="Arial"/>
            </a:rPr>
            <a:t>Quelle: Energieagentur NRW / BMWi / DeStatis</a:t>
          </a:r>
        </a:p>
        <a:p xmlns:a="http://schemas.openxmlformats.org/drawingml/2006/main">
          <a:pPr algn="r" rtl="0">
            <a:defRPr sz="1000"/>
          </a:pPr>
          <a:endParaRPr lang="de-DE" sz="1075" b="0" i="0" u="none" strike="noStrike" baseline="0">
            <a:solidFill>
              <a:srgbClr val="FFFFFF"/>
            </a:solidFill>
            <a:latin typeface="Arial"/>
            <a:cs typeface="Arial"/>
          </a:endParaRPr>
        </a:p>
      </cdr:txBody>
    </cdr:sp>
  </cdr:relSizeAnchor>
  <cdr:relSizeAnchor xmlns:cdr="http://schemas.openxmlformats.org/drawingml/2006/chartDrawing">
    <cdr:from>
      <cdr:x>0.61443</cdr:x>
      <cdr:y>0.50776</cdr:y>
    </cdr:from>
    <cdr:to>
      <cdr:x>0.97779</cdr:x>
      <cdr:y>0.85634</cdr:y>
    </cdr:to>
    <cdr:sp macro="" textlink="">
      <cdr:nvSpPr>
        <cdr:cNvPr id="48130" name="Line 1026"/>
        <cdr:cNvSpPr>
          <a:spLocks xmlns:a="http://schemas.openxmlformats.org/drawingml/2006/main" noChangeShapeType="1"/>
        </cdr:cNvSpPr>
      </cdr:nvSpPr>
      <cdr:spPr bwMode="auto">
        <a:xfrm xmlns:a="http://schemas.openxmlformats.org/drawingml/2006/main" flipV="1">
          <a:off x="6561667" y="2561166"/>
          <a:ext cx="3884083" cy="1703915"/>
        </a:xfrm>
        <a:prstGeom xmlns:a="http://schemas.openxmlformats.org/drawingml/2006/main" prst="line">
          <a:avLst/>
        </a:prstGeom>
        <a:noFill xmlns:a="http://schemas.openxmlformats.org/drawingml/2006/main"/>
        <a:ln xmlns:a="http://schemas.openxmlformats.org/drawingml/2006/main" w="38100">
          <a:solidFill>
            <a:srgbClr val="808080"/>
          </a:solidFill>
          <a:round/>
          <a:headEnd type="triangle" w="lg" len="med"/>
          <a:tailEnd type="triangle" w="lg" len="me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0.74973</cdr:x>
      <cdr:y>0.72063</cdr:y>
    </cdr:from>
    <cdr:to>
      <cdr:x>0.97572</cdr:x>
      <cdr:y>0.78903</cdr:y>
    </cdr:to>
    <cdr:sp macro="" textlink="">
      <cdr:nvSpPr>
        <cdr:cNvPr id="48131" name="Text Box 1027"/>
        <cdr:cNvSpPr txBox="1">
          <a:spLocks xmlns:a="http://schemas.openxmlformats.org/drawingml/2006/main" noChangeArrowheads="1"/>
        </cdr:cNvSpPr>
      </cdr:nvSpPr>
      <cdr:spPr bwMode="auto">
        <a:xfrm xmlns:a="http://schemas.openxmlformats.org/drawingml/2006/main">
          <a:off x="8022577" y="3559969"/>
          <a:ext cx="2419204" cy="3333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de-DE" sz="1225" b="1" i="0" u="none" strike="noStrike" baseline="0">
              <a:solidFill>
                <a:srgbClr val="333333"/>
              </a:solidFill>
              <a:latin typeface="Arial"/>
              <a:cs typeface="Arial"/>
            </a:rPr>
            <a:t> </a:t>
          </a:r>
          <a:r>
            <a:rPr lang="de-DE" sz="1400" b="1" i="0" u="none" strike="noStrike" baseline="0">
              <a:solidFill>
                <a:srgbClr val="333333"/>
              </a:solidFill>
              <a:latin typeface="Arial"/>
              <a:cs typeface="Arial"/>
            </a:rPr>
            <a:t>7% Steigerung p.a. ab 1998</a:t>
          </a:r>
        </a:p>
      </cdr:txBody>
    </cdr:sp>
  </cdr:relSizeAnchor>
  <cdr:relSizeAnchor xmlns:cdr="http://schemas.openxmlformats.org/drawingml/2006/chartDrawing">
    <cdr:from>
      <cdr:x>0.05503</cdr:x>
      <cdr:y>0.77166</cdr:y>
    </cdr:from>
    <cdr:to>
      <cdr:x>0.16936</cdr:x>
      <cdr:y>0.82101</cdr:y>
    </cdr:to>
    <cdr:sp macro="" textlink="">
      <cdr:nvSpPr>
        <cdr:cNvPr id="48132" name="Text Box 1028"/>
        <cdr:cNvSpPr txBox="1">
          <a:spLocks xmlns:a="http://schemas.openxmlformats.org/drawingml/2006/main" noChangeArrowheads="1"/>
        </cdr:cNvSpPr>
      </cdr:nvSpPr>
      <cdr:spPr bwMode="auto">
        <a:xfrm xmlns:a="http://schemas.openxmlformats.org/drawingml/2006/main">
          <a:off x="580078" y="3889375"/>
          <a:ext cx="1221735" cy="242945"/>
        </a:xfrm>
        <a:prstGeom xmlns:a="http://schemas.openxmlformats.org/drawingml/2006/main" prst="rect">
          <a:avLst/>
        </a:prstGeom>
        <a:solidFill xmlns:a="http://schemas.openxmlformats.org/drawingml/2006/main">
          <a:srgbClr val="FFFF99"/>
        </a:solidFill>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de-DE" sz="1400" b="1" i="0" u="none" strike="noStrike" baseline="0">
              <a:solidFill>
                <a:srgbClr val="333333"/>
              </a:solidFill>
              <a:latin typeface="Arial"/>
              <a:cs typeface="Arial"/>
            </a:rPr>
            <a:t>Erdgas ct/m³</a:t>
          </a:r>
        </a:p>
      </cdr:txBody>
    </cdr:sp>
  </cdr:relSizeAnchor>
  <cdr:relSizeAnchor xmlns:cdr="http://schemas.openxmlformats.org/drawingml/2006/chartDrawing">
    <cdr:from>
      <cdr:x>0.22016</cdr:x>
      <cdr:y>0.864</cdr:y>
    </cdr:from>
    <cdr:to>
      <cdr:x>0.337</cdr:x>
      <cdr:y>0.91417</cdr:y>
    </cdr:to>
    <cdr:sp macro="" textlink="">
      <cdr:nvSpPr>
        <cdr:cNvPr id="48133" name="Text Box 1029"/>
        <cdr:cNvSpPr txBox="1">
          <a:spLocks xmlns:a="http://schemas.openxmlformats.org/drawingml/2006/main" noChangeArrowheads="1"/>
        </cdr:cNvSpPr>
      </cdr:nvSpPr>
      <cdr:spPr bwMode="auto">
        <a:xfrm xmlns:a="http://schemas.openxmlformats.org/drawingml/2006/main">
          <a:off x="2344841" y="4299723"/>
          <a:ext cx="1249939" cy="2447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de-DE" sz="1400" b="1" i="0" u="none" strike="noStrike" baseline="0">
              <a:solidFill>
                <a:srgbClr val="333333"/>
              </a:solidFill>
              <a:latin typeface="Arial"/>
              <a:cs typeface="Arial"/>
            </a:rPr>
            <a:t>Heizöl ct/l</a:t>
          </a:r>
        </a:p>
      </cdr:txBody>
    </cdr:sp>
  </cdr:relSizeAnchor>
  <cdr:relSizeAnchor xmlns:cdr="http://schemas.openxmlformats.org/drawingml/2006/chartDrawing">
    <cdr:from>
      <cdr:x>0.03901</cdr:x>
      <cdr:y>0.50564</cdr:y>
    </cdr:from>
    <cdr:to>
      <cdr:x>0.9758</cdr:x>
      <cdr:y>0.9306</cdr:y>
    </cdr:to>
    <cdr:sp macro="" textlink="">
      <cdr:nvSpPr>
        <cdr:cNvPr id="7" name="Line 1026"/>
        <cdr:cNvSpPr>
          <a:spLocks xmlns:a="http://schemas.openxmlformats.org/drawingml/2006/main" noChangeShapeType="1"/>
        </cdr:cNvSpPr>
      </cdr:nvSpPr>
      <cdr:spPr bwMode="auto">
        <a:xfrm xmlns:a="http://schemas.openxmlformats.org/drawingml/2006/main" flipV="1">
          <a:off x="408584" y="2550582"/>
          <a:ext cx="10016000" cy="2077312"/>
        </a:xfrm>
        <a:prstGeom xmlns:a="http://schemas.openxmlformats.org/drawingml/2006/main" prst="line">
          <a:avLst/>
        </a:prstGeom>
        <a:noFill xmlns:a="http://schemas.openxmlformats.org/drawingml/2006/main"/>
        <a:ln xmlns:a="http://schemas.openxmlformats.org/drawingml/2006/main" w="38100">
          <a:solidFill>
            <a:srgbClr val="808080"/>
          </a:solidFill>
          <a:round/>
          <a:headEnd type="triangle" w="lg" len="med"/>
          <a:tailEnd type="triangle" w="lg" len="me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0.36426</cdr:x>
      <cdr:y>0.59173</cdr:y>
    </cdr:from>
    <cdr:to>
      <cdr:x>0.64844</cdr:x>
      <cdr:y>0.64532</cdr:y>
    </cdr:to>
    <cdr:sp macro="" textlink="">
      <cdr:nvSpPr>
        <cdr:cNvPr id="8" name="Text Box 1027"/>
        <cdr:cNvSpPr txBox="1">
          <a:spLocks xmlns:a="http://schemas.openxmlformats.org/drawingml/2006/main" noChangeArrowheads="1"/>
        </cdr:cNvSpPr>
      </cdr:nvSpPr>
      <cdr:spPr bwMode="auto">
        <a:xfrm xmlns:a="http://schemas.openxmlformats.org/drawingml/2006/main">
          <a:off x="3892583" y="2938259"/>
          <a:ext cx="3044230" cy="2577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225" b="1" i="0" u="none" strike="noStrike" baseline="0">
              <a:solidFill>
                <a:srgbClr val="333333"/>
              </a:solidFill>
              <a:latin typeface="Arial"/>
              <a:cs typeface="Arial"/>
            </a:rPr>
            <a:t> </a:t>
          </a:r>
          <a:r>
            <a:rPr lang="de-DE" sz="1400" b="1" i="0" u="none" strike="noStrike" baseline="0">
              <a:solidFill>
                <a:srgbClr val="333333"/>
              </a:solidFill>
              <a:latin typeface="Arial"/>
              <a:cs typeface="Arial"/>
            </a:rPr>
            <a:t>5,5% Steigerung p.a.... ab 1970</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xdr:colOff>
      <xdr:row>126</xdr:row>
      <xdr:rowOff>180975</xdr:rowOff>
    </xdr:from>
    <xdr:to>
      <xdr:col>18</xdr:col>
      <xdr:colOff>0</xdr:colOff>
      <xdr:row>139</xdr:row>
      <xdr:rowOff>123825</xdr:rowOff>
    </xdr:to>
    <xdr:graphicFrame macro="">
      <xdr:nvGraphicFramePr>
        <xdr:cNvPr id="4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1827</xdr:row>
      <xdr:rowOff>66675</xdr:rowOff>
    </xdr:from>
    <xdr:to>
      <xdr:col>0</xdr:col>
      <xdr:colOff>447675</xdr:colOff>
      <xdr:row>1828</xdr:row>
      <xdr:rowOff>19050</xdr:rowOff>
    </xdr:to>
    <xdr:graphicFrame macro="">
      <xdr:nvGraphicFramePr>
        <xdr:cNvPr id="4135"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110</xdr:row>
      <xdr:rowOff>238125</xdr:rowOff>
    </xdr:from>
    <xdr:to>
      <xdr:col>9</xdr:col>
      <xdr:colOff>28575</xdr:colOff>
      <xdr:row>126</xdr:row>
      <xdr:rowOff>28575</xdr:rowOff>
    </xdr:to>
    <xdr:graphicFrame macro="">
      <xdr:nvGraphicFramePr>
        <xdr:cNvPr id="4136"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19050</xdr:colOff>
      <xdr:row>110</xdr:row>
      <xdr:rowOff>238125</xdr:rowOff>
    </xdr:from>
    <xdr:to>
      <xdr:col>17</xdr:col>
      <xdr:colOff>47625</xdr:colOff>
      <xdr:row>126</xdr:row>
      <xdr:rowOff>28575</xdr:rowOff>
    </xdr:to>
    <xdr:graphicFrame macro="">
      <xdr:nvGraphicFramePr>
        <xdr:cNvPr id="4137"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990600</xdr:colOff>
      <xdr:row>23</xdr:row>
      <xdr:rowOff>152400</xdr:rowOff>
    </xdr:from>
    <xdr:to>
      <xdr:col>0</xdr:col>
      <xdr:colOff>1924050</xdr:colOff>
      <xdr:row>32</xdr:row>
      <xdr:rowOff>66675</xdr:rowOff>
    </xdr:to>
    <xdr:sp macro="" textlink="">
      <xdr:nvSpPr>
        <xdr:cNvPr id="10253" name="Pfeil nach unten 1"/>
        <xdr:cNvSpPr>
          <a:spLocks noChangeArrowheads="1"/>
        </xdr:cNvSpPr>
      </xdr:nvSpPr>
      <xdr:spPr bwMode="auto">
        <a:xfrm>
          <a:off x="990600" y="3876675"/>
          <a:ext cx="933450" cy="1371600"/>
        </a:xfrm>
        <a:prstGeom prst="downArrow">
          <a:avLst>
            <a:gd name="adj1" fmla="val 50000"/>
            <a:gd name="adj2" fmla="val 40660"/>
          </a:avLst>
        </a:prstGeom>
        <a:solidFill>
          <a:srgbClr val="C0C0C0"/>
        </a:solidFill>
        <a:ln w="9525" algn="ctr">
          <a:solidFill>
            <a:srgbClr val="000000"/>
          </a:solidFill>
          <a:round/>
          <a:headEnd/>
          <a:tailEnd/>
        </a:ln>
      </xdr:spPr>
    </xdr:sp>
    <xdr:clientData/>
  </xdr:twoCellAnchor>
  <xdr:twoCellAnchor>
    <xdr:from>
      <xdr:col>1</xdr:col>
      <xdr:colOff>238125</xdr:colOff>
      <xdr:row>36</xdr:row>
      <xdr:rowOff>9525</xdr:rowOff>
    </xdr:from>
    <xdr:to>
      <xdr:col>4</xdr:col>
      <xdr:colOff>885825</xdr:colOff>
      <xdr:row>43</xdr:row>
      <xdr:rowOff>180975</xdr:rowOff>
    </xdr:to>
    <xdr:graphicFrame macro="">
      <xdr:nvGraphicFramePr>
        <xdr:cNvPr id="10254"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51</xdr:row>
      <xdr:rowOff>47625</xdr:rowOff>
    </xdr:from>
    <xdr:to>
      <xdr:col>6</xdr:col>
      <xdr:colOff>876300</xdr:colOff>
      <xdr:row>69</xdr:row>
      <xdr:rowOff>95250</xdr:rowOff>
    </xdr:to>
    <xdr:graphicFrame macro="">
      <xdr:nvGraphicFramePr>
        <xdr:cNvPr id="10255"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5</xdr:col>
      <xdr:colOff>1266825</xdr:colOff>
      <xdr:row>23</xdr:row>
      <xdr:rowOff>114300</xdr:rowOff>
    </xdr:to>
    <xdr:pic>
      <xdr:nvPicPr>
        <xdr:cNvPr id="10256" name="Picture 7" descr="Dach-fuer-tool"/>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8305800" cy="3838575"/>
        </a:xfrm>
        <a:prstGeom prst="rect">
          <a:avLst/>
        </a:prstGeom>
        <a:noFill/>
        <a:ln w="9525">
          <a:noFill/>
          <a:miter lim="800000"/>
          <a:headEnd/>
          <a:tailEnd/>
        </a:ln>
      </xdr:spPr>
    </xdr:pic>
    <xdr:clientData/>
  </xdr:twoCellAnchor>
  <xdr:twoCellAnchor>
    <xdr:from>
      <xdr:col>1</xdr:col>
      <xdr:colOff>180975</xdr:colOff>
      <xdr:row>23</xdr:row>
      <xdr:rowOff>133350</xdr:rowOff>
    </xdr:from>
    <xdr:to>
      <xdr:col>4</xdr:col>
      <xdr:colOff>819150</xdr:colOff>
      <xdr:row>33</xdr:row>
      <xdr:rowOff>0</xdr:rowOff>
    </xdr:to>
    <xdr:graphicFrame macro="">
      <xdr:nvGraphicFramePr>
        <xdr:cNvPr id="1025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4</xdr:col>
      <xdr:colOff>1171575</xdr:colOff>
      <xdr:row>23</xdr:row>
      <xdr:rowOff>114300</xdr:rowOff>
    </xdr:from>
    <xdr:to>
      <xdr:col>5</xdr:col>
      <xdr:colOff>704850</xdr:colOff>
      <xdr:row>32</xdr:row>
      <xdr:rowOff>95250</xdr:rowOff>
    </xdr:to>
    <xdr:sp macro="" textlink="">
      <xdr:nvSpPr>
        <xdr:cNvPr id="10258" name="Pfeil nach unten 2"/>
        <xdr:cNvSpPr>
          <a:spLocks noChangeAspect="1" noChangeArrowheads="1"/>
        </xdr:cNvSpPr>
      </xdr:nvSpPr>
      <xdr:spPr bwMode="auto">
        <a:xfrm>
          <a:off x="6715125" y="3838575"/>
          <a:ext cx="1028700" cy="1438275"/>
        </a:xfrm>
        <a:prstGeom prst="downArrow">
          <a:avLst>
            <a:gd name="adj1" fmla="val 50000"/>
            <a:gd name="adj2" fmla="val 41996"/>
          </a:avLst>
        </a:prstGeom>
        <a:solidFill>
          <a:srgbClr val="FFCC00"/>
        </a:solidFill>
        <a:ln w="9525"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ar\containers\Bundle\Application\35BB62F1-67F3-4947-9357-25A6325A61D2\Excel.app\T:\Sicherung%20D\Eigene%20Dateien\Excel-Dokumente\Solar_lohnt_sich\DE-DEU_Solar_lohnt_sich_-Storit_2.2_20160824_bear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ar\containers\Bundle\Application\35BB62F1-67F3-4947-9357-25A6325A61D2\Excel.app\T:\Sicherung%20D\Eigene%20Dateien\Excel-Dokumente\Solar_lohnt_sich\DE-DEU_Solar_lohnt_sich_-Storit_2.2_20160727_Bearb.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olarstrom"/>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olarwärme"/>
    </sheetNames>
    <sheetDataSet>
      <sheetData sheetId="0"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en.wikipedia.org/wiki/Lithium_iron_phosphate" TargetMode="External"/><Relationship Id="rId1" Type="http://schemas.openxmlformats.org/officeDocument/2006/relationships/hyperlink" Target="https://en.wikipedia.org/wiki/Lithium-manganese_battery" TargetMode="External"/><Relationship Id="rId5" Type="http://schemas.openxmlformats.org/officeDocument/2006/relationships/comments" Target="../comments5.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sheetPr codeName="Tabelle1">
    <tabColor indexed="51"/>
    <pageSetUpPr fitToPage="1"/>
  </sheetPr>
  <dimension ref="A1:BG90"/>
  <sheetViews>
    <sheetView showGridLines="0" showZeros="0" topLeftCell="A27" zoomScale="80" zoomScaleNormal="80" zoomScalePageLayoutView="106" workbookViewId="0">
      <selection activeCell="D32" sqref="D32"/>
    </sheetView>
  </sheetViews>
  <sheetFormatPr baseColWidth="10" defaultColWidth="10.85546875" defaultRowHeight="14.25"/>
  <cols>
    <col min="1" max="1" width="11.140625" style="307" customWidth="1"/>
    <col min="2" max="2" width="18" style="307" customWidth="1"/>
    <col min="3" max="3" width="29.42578125" style="307" customWidth="1"/>
    <col min="4" max="4" width="12.42578125" style="307" customWidth="1"/>
    <col min="5" max="5" width="7.140625" style="307" customWidth="1"/>
    <col min="6" max="6" width="2.85546875" style="307" customWidth="1"/>
    <col min="7" max="7" width="9.7109375" style="307" customWidth="1"/>
    <col min="8" max="8" width="16" style="307" customWidth="1"/>
    <col min="9" max="9" width="3.140625" style="307" customWidth="1"/>
    <col min="10" max="10" width="17" style="307" customWidth="1"/>
    <col min="11" max="11" width="15.42578125" style="307" customWidth="1"/>
    <col min="12" max="12" width="14.28515625" style="307" customWidth="1"/>
    <col min="13" max="13" width="255.5703125" style="307" customWidth="1"/>
    <col min="14" max="14" width="26.28515625" style="280" bestFit="1" customWidth="1"/>
    <col min="15" max="15" width="44.28515625" style="280" bestFit="1" customWidth="1"/>
    <col min="16" max="16" width="58" style="280" bestFit="1" customWidth="1"/>
    <col min="17" max="17" width="8.140625" style="280" bestFit="1" customWidth="1"/>
    <col min="18" max="18" width="78.42578125" style="280" bestFit="1" customWidth="1"/>
    <col min="19" max="19" width="24.5703125" style="280" bestFit="1" customWidth="1"/>
    <col min="20" max="20" width="17.85546875" style="280" bestFit="1" customWidth="1"/>
    <col min="21" max="21" width="88.85546875" style="280" bestFit="1" customWidth="1"/>
    <col min="22" max="22" width="7.140625" style="280" bestFit="1" customWidth="1"/>
    <col min="23" max="23" width="24.5703125" style="280" bestFit="1" customWidth="1"/>
    <col min="24" max="24" width="11.7109375" style="280" bestFit="1" customWidth="1"/>
    <col min="25" max="25" width="21.5703125" style="280" bestFit="1" customWidth="1"/>
    <col min="26" max="26" width="23.5703125" style="280" bestFit="1" customWidth="1"/>
    <col min="27" max="27" width="23" style="280" bestFit="1" customWidth="1"/>
    <col min="28" max="28" width="22" style="280" bestFit="1" customWidth="1"/>
    <col min="29" max="29" width="5.5703125" style="280" bestFit="1" customWidth="1"/>
    <col min="30" max="30" width="10.85546875" style="280" bestFit="1" customWidth="1"/>
    <col min="31" max="32" width="20.7109375" style="280" bestFit="1" customWidth="1"/>
    <col min="33" max="33" width="36.42578125" style="280" bestFit="1" customWidth="1"/>
    <col min="34" max="34" width="32.28515625" style="280" bestFit="1" customWidth="1"/>
    <col min="35" max="35" width="16.42578125" style="280" bestFit="1" customWidth="1"/>
    <col min="36" max="36" width="12.28515625" style="280" bestFit="1" customWidth="1"/>
    <col min="37" max="37" width="10.140625" style="280" bestFit="1" customWidth="1"/>
    <col min="38" max="39" width="28.140625" style="280" bestFit="1" customWidth="1"/>
    <col min="40" max="40" width="3.42578125" style="280" bestFit="1" customWidth="1"/>
    <col min="41" max="41" width="30.7109375" style="280" bestFit="1" customWidth="1"/>
    <col min="42" max="42" width="8.85546875" style="280" bestFit="1" customWidth="1"/>
    <col min="43" max="44" width="0.7109375" style="280" customWidth="1"/>
    <col min="45" max="45" width="71" style="280" bestFit="1" customWidth="1"/>
    <col min="46" max="46" width="31.7109375" style="280" bestFit="1" customWidth="1"/>
    <col min="47" max="47" width="19.5703125" style="280" bestFit="1" customWidth="1"/>
    <col min="48" max="48" width="8.5703125" style="280" bestFit="1" customWidth="1"/>
    <col min="49" max="50" width="10" style="280" bestFit="1" customWidth="1"/>
    <col min="51" max="51" width="7.140625" style="280" bestFit="1" customWidth="1"/>
    <col min="52" max="52" width="0.7109375" style="280" customWidth="1"/>
    <col min="53" max="53" width="52.42578125" style="280" bestFit="1" customWidth="1"/>
    <col min="54" max="56" width="52.42578125" style="308" bestFit="1" customWidth="1"/>
    <col min="57" max="59" width="0.7109375" style="308" customWidth="1"/>
    <col min="60" max="86" width="0.7109375" style="307" customWidth="1"/>
    <col min="87" max="16384" width="10.85546875" style="307"/>
  </cols>
  <sheetData>
    <row r="1" spans="1:59">
      <c r="A1" s="11"/>
      <c r="B1" s="11"/>
      <c r="C1" s="11"/>
      <c r="D1" s="11"/>
      <c r="E1" s="11"/>
      <c r="F1" s="11"/>
      <c r="G1" s="11"/>
      <c r="H1" s="11"/>
      <c r="I1" s="11"/>
      <c r="J1" s="11"/>
      <c r="K1" s="11"/>
      <c r="L1" s="11"/>
      <c r="M1" s="11"/>
    </row>
    <row r="2" spans="1:59">
      <c r="A2" s="11"/>
      <c r="B2" s="11"/>
      <c r="C2" s="11"/>
      <c r="D2" s="11"/>
      <c r="E2" s="11"/>
      <c r="F2" s="11"/>
      <c r="G2" s="11"/>
      <c r="H2" s="11"/>
      <c r="I2" s="11"/>
      <c r="J2" s="11"/>
      <c r="K2" s="11"/>
      <c r="L2" s="11"/>
      <c r="M2" s="11"/>
    </row>
    <row r="3" spans="1:59">
      <c r="A3" s="11"/>
      <c r="B3" s="11"/>
      <c r="C3" s="11"/>
      <c r="D3" s="11"/>
      <c r="E3" s="11"/>
      <c r="F3" s="11"/>
      <c r="G3" s="11"/>
      <c r="H3" s="11"/>
      <c r="I3" s="11"/>
      <c r="J3" s="11"/>
      <c r="K3" s="11"/>
      <c r="L3" s="11"/>
      <c r="M3" s="11"/>
    </row>
    <row r="4" spans="1:59">
      <c r="A4" s="11"/>
      <c r="B4" s="11"/>
      <c r="C4" s="11"/>
      <c r="D4" s="11"/>
      <c r="E4" s="11"/>
      <c r="F4" s="11"/>
      <c r="G4" s="11"/>
      <c r="H4" s="11"/>
      <c r="I4" s="11"/>
      <c r="J4" s="11"/>
      <c r="K4" s="11"/>
      <c r="L4" s="11"/>
      <c r="M4" s="11"/>
      <c r="P4" s="791" t="s">
        <v>235</v>
      </c>
      <c r="S4" s="792"/>
      <c r="T4" s="792"/>
      <c r="U4" s="793"/>
      <c r="V4" s="792"/>
    </row>
    <row r="5" spans="1:59">
      <c r="A5" s="11"/>
      <c r="B5" s="11"/>
      <c r="C5" s="11"/>
      <c r="D5" s="11"/>
      <c r="E5" s="11"/>
      <c r="F5" s="11"/>
      <c r="G5" s="11"/>
      <c r="H5" s="11"/>
      <c r="I5" s="11"/>
      <c r="J5" s="11"/>
      <c r="K5" s="11"/>
      <c r="L5" s="11"/>
      <c r="M5" s="11"/>
      <c r="P5" s="280" t="s">
        <v>294</v>
      </c>
      <c r="S5" s="792"/>
      <c r="T5" s="792"/>
      <c r="U5" s="793"/>
      <c r="V5" s="792"/>
    </row>
    <row r="6" spans="1:59">
      <c r="A6" s="11"/>
      <c r="B6" s="11"/>
      <c r="C6" s="11"/>
      <c r="D6" s="11"/>
      <c r="E6" s="11"/>
      <c r="F6" s="11"/>
      <c r="G6" s="11"/>
      <c r="H6" s="11"/>
      <c r="I6" s="11"/>
      <c r="J6" s="11"/>
      <c r="K6" s="11"/>
      <c r="L6" s="11"/>
      <c r="M6" s="11"/>
    </row>
    <row r="7" spans="1:59">
      <c r="A7" s="11"/>
      <c r="B7" s="11"/>
      <c r="C7" s="11"/>
      <c r="D7" s="11"/>
      <c r="E7" s="11"/>
      <c r="F7" s="11"/>
      <c r="G7" s="11"/>
      <c r="H7" s="11"/>
      <c r="I7" s="11"/>
      <c r="J7" s="11"/>
      <c r="K7" s="11"/>
      <c r="L7" s="11"/>
      <c r="M7" s="11"/>
      <c r="U7" s="793"/>
      <c r="X7" s="794"/>
      <c r="Y7" s="794"/>
      <c r="Z7" s="794"/>
      <c r="AA7" s="794"/>
      <c r="AB7" s="794"/>
      <c r="AC7" s="794"/>
      <c r="AD7" s="794"/>
      <c r="AE7" s="794"/>
      <c r="AF7" s="794"/>
      <c r="AG7" s="794"/>
      <c r="AH7" s="794"/>
      <c r="AI7" s="794"/>
      <c r="AJ7" s="794"/>
      <c r="AK7" s="794"/>
      <c r="AL7" s="794"/>
      <c r="AM7" s="794"/>
      <c r="AN7" s="794"/>
      <c r="AO7" s="794"/>
      <c r="AP7" s="794"/>
      <c r="AQ7" s="794"/>
      <c r="AR7" s="794"/>
      <c r="AS7" s="794"/>
      <c r="AT7" s="794" t="s">
        <v>293</v>
      </c>
      <c r="AU7" s="794"/>
      <c r="AV7" s="794"/>
      <c r="AW7" s="794"/>
      <c r="AX7" s="794"/>
      <c r="AY7" s="794"/>
      <c r="AZ7" s="794"/>
      <c r="BA7" s="794"/>
      <c r="BB7" s="282"/>
      <c r="BC7" s="282"/>
      <c r="BD7" s="282"/>
      <c r="BE7" s="282"/>
      <c r="BF7" s="282"/>
      <c r="BG7" s="282"/>
    </row>
    <row r="8" spans="1:59" ht="15">
      <c r="A8" s="11"/>
      <c r="B8" s="11"/>
      <c r="C8" s="11"/>
      <c r="D8" s="11"/>
      <c r="E8" s="11"/>
      <c r="F8" s="11"/>
      <c r="G8" s="11"/>
      <c r="H8" s="11"/>
      <c r="I8" s="11"/>
      <c r="J8" s="11"/>
      <c r="K8" s="11"/>
      <c r="L8" s="11"/>
      <c r="M8" s="11"/>
      <c r="P8" s="795"/>
      <c r="X8" s="794"/>
      <c r="Y8" s="794"/>
      <c r="Z8" s="794"/>
      <c r="AA8" s="794"/>
      <c r="AB8" s="794"/>
      <c r="AC8" s="794"/>
      <c r="AD8" s="794"/>
      <c r="AE8" s="794"/>
      <c r="AF8" s="794"/>
      <c r="AG8" s="794"/>
      <c r="AH8" s="794"/>
      <c r="AI8" s="794"/>
      <c r="AJ8" s="794"/>
      <c r="AK8" s="794"/>
      <c r="AL8" s="794"/>
      <c r="AM8" s="794"/>
      <c r="AN8" s="794"/>
      <c r="AO8" s="794"/>
      <c r="AP8" s="794"/>
      <c r="AQ8" s="794"/>
      <c r="AR8" s="794"/>
      <c r="AS8" s="794"/>
      <c r="AT8" s="794"/>
      <c r="AU8" s="794" t="s">
        <v>292</v>
      </c>
      <c r="AV8" s="794"/>
      <c r="AW8" s="794"/>
      <c r="AX8" s="794"/>
      <c r="AY8" s="794"/>
      <c r="AZ8" s="794"/>
      <c r="BA8" s="794"/>
      <c r="BB8" s="282"/>
      <c r="BC8" s="282"/>
      <c r="BD8" s="282"/>
      <c r="BE8" s="282"/>
      <c r="BF8" s="282"/>
      <c r="BG8" s="282"/>
    </row>
    <row r="9" spans="1:59" ht="21" customHeight="1">
      <c r="A9" s="11"/>
      <c r="B9" s="11"/>
      <c r="C9" s="11"/>
      <c r="D9" s="11"/>
      <c r="E9" s="11"/>
      <c r="F9" s="11"/>
      <c r="G9" s="11"/>
      <c r="H9" s="11"/>
      <c r="I9" s="11"/>
      <c r="J9" s="11"/>
      <c r="K9" s="11"/>
      <c r="L9" s="11"/>
      <c r="M9" s="11"/>
      <c r="N9" s="795"/>
      <c r="X9" s="794"/>
      <c r="Y9" s="794"/>
      <c r="Z9" s="794"/>
      <c r="AA9" s="794"/>
      <c r="AB9" s="794"/>
      <c r="AC9" s="796" t="s">
        <v>2</v>
      </c>
      <c r="AD9" s="796" t="s">
        <v>291</v>
      </c>
      <c r="AE9" s="796"/>
      <c r="AF9" s="796"/>
      <c r="AG9" s="796"/>
      <c r="AH9" s="796"/>
      <c r="AI9" s="796"/>
      <c r="AJ9" s="797" t="s">
        <v>290</v>
      </c>
      <c r="AK9" s="798" t="s">
        <v>289</v>
      </c>
      <c r="AL9" s="798" t="s">
        <v>289</v>
      </c>
      <c r="AM9" s="798" t="s">
        <v>289</v>
      </c>
      <c r="AN9" s="799" t="s">
        <v>288</v>
      </c>
      <c r="AO9" s="799"/>
      <c r="AP9" s="799" t="s">
        <v>287</v>
      </c>
      <c r="AQ9" s="797"/>
      <c r="AR9" s="797"/>
      <c r="AS9" s="794" t="s">
        <v>286</v>
      </c>
      <c r="AT9" s="794" t="s">
        <v>2</v>
      </c>
      <c r="AU9" s="794" t="s">
        <v>285</v>
      </c>
      <c r="AV9" s="794" t="s">
        <v>284</v>
      </c>
      <c r="AW9" s="794" t="s">
        <v>283</v>
      </c>
      <c r="AX9" s="794" t="s">
        <v>282</v>
      </c>
      <c r="AY9" s="794" t="s">
        <v>246</v>
      </c>
      <c r="AZ9" s="794"/>
      <c r="BA9" s="794" t="s">
        <v>281</v>
      </c>
      <c r="BB9" s="282"/>
      <c r="BC9" s="282"/>
      <c r="BD9" s="282"/>
      <c r="BE9" s="282"/>
      <c r="BF9" s="282"/>
      <c r="BG9" s="282"/>
    </row>
    <row r="10" spans="1:59" ht="14.25" customHeight="1">
      <c r="A10" s="11"/>
      <c r="B10" s="11"/>
      <c r="C10" s="11"/>
      <c r="D10" s="11"/>
      <c r="E10" s="11"/>
      <c r="F10" s="11"/>
      <c r="G10" s="11"/>
      <c r="H10" s="11"/>
      <c r="I10" s="11"/>
      <c r="J10" s="11"/>
      <c r="K10" s="11"/>
      <c r="L10" s="11"/>
      <c r="M10" s="11"/>
      <c r="T10" s="794"/>
      <c r="U10" s="794"/>
      <c r="V10" s="794"/>
      <c r="W10" s="800"/>
      <c r="X10" s="794"/>
      <c r="Y10" s="794"/>
      <c r="Z10" s="794"/>
      <c r="AA10" s="794"/>
      <c r="AB10" s="794"/>
      <c r="AC10" s="801"/>
      <c r="AD10" s="802" t="s">
        <v>280</v>
      </c>
      <c r="AE10" s="802" t="s">
        <v>279</v>
      </c>
      <c r="AF10" s="802" t="s">
        <v>279</v>
      </c>
      <c r="AG10" s="802" t="s">
        <v>278</v>
      </c>
      <c r="AH10" s="802" t="s">
        <v>277</v>
      </c>
      <c r="AI10" s="802" t="s">
        <v>276</v>
      </c>
      <c r="AJ10" s="802" t="s">
        <v>275</v>
      </c>
      <c r="AK10" s="801"/>
      <c r="AL10" s="803">
        <f>D34-2</f>
        <v>3.5</v>
      </c>
      <c r="AM10" s="804">
        <f>D34+2</f>
        <v>7.5</v>
      </c>
      <c r="AN10" s="799"/>
      <c r="AO10" s="799"/>
      <c r="AP10" s="799"/>
      <c r="AQ10" s="797"/>
      <c r="AR10" s="797"/>
      <c r="AS10" s="794"/>
      <c r="AT10" s="794"/>
      <c r="AU10" s="794" t="s">
        <v>274</v>
      </c>
      <c r="AV10" s="794">
        <f>Solarwärme!T15</f>
        <v>9.9</v>
      </c>
      <c r="AW10" s="794" t="s">
        <v>274</v>
      </c>
      <c r="AX10" s="794">
        <f>Solarwärme!T16</f>
        <v>11.1</v>
      </c>
      <c r="AY10" s="794" t="s">
        <v>274</v>
      </c>
      <c r="AZ10" s="794"/>
      <c r="BA10" s="805" t="s">
        <v>273</v>
      </c>
      <c r="BB10" s="806" t="s">
        <v>272</v>
      </c>
      <c r="BC10" s="806" t="s">
        <v>271</v>
      </c>
      <c r="BD10" s="806" t="s">
        <v>270</v>
      </c>
      <c r="BE10" s="282"/>
      <c r="BF10" s="282"/>
      <c r="BG10" s="282"/>
    </row>
    <row r="11" spans="1:59" ht="110.25" customHeight="1">
      <c r="A11" s="11"/>
      <c r="B11" s="11"/>
      <c r="C11" s="11"/>
      <c r="D11" s="11"/>
      <c r="E11" s="11"/>
      <c r="F11" s="11"/>
      <c r="G11" s="11"/>
      <c r="H11" s="11"/>
      <c r="I11" s="11"/>
      <c r="J11" s="11"/>
      <c r="K11" s="11"/>
      <c r="L11" s="11"/>
      <c r="M11" s="11"/>
      <c r="T11" s="794"/>
      <c r="U11" s="794"/>
      <c r="V11" s="794"/>
      <c r="W11" s="794"/>
      <c r="X11" s="794"/>
      <c r="Y11" s="794" t="s">
        <v>269</v>
      </c>
      <c r="Z11" s="794" t="s">
        <v>268</v>
      </c>
      <c r="AA11" s="807" t="s">
        <v>267</v>
      </c>
      <c r="AB11" s="807" t="s">
        <v>266</v>
      </c>
      <c r="AC11" s="801"/>
      <c r="AD11" s="802" t="s">
        <v>265</v>
      </c>
      <c r="AE11" s="802" t="s">
        <v>265</v>
      </c>
      <c r="AF11" s="802" t="s">
        <v>264</v>
      </c>
      <c r="AG11" s="802" t="s">
        <v>264</v>
      </c>
      <c r="AH11" s="802" t="s">
        <v>264</v>
      </c>
      <c r="AI11" s="802" t="s">
        <v>264</v>
      </c>
      <c r="AJ11" s="802" t="s">
        <v>264</v>
      </c>
      <c r="AK11" s="802" t="s">
        <v>264</v>
      </c>
      <c r="AL11" s="802" t="s">
        <v>264</v>
      </c>
      <c r="AM11" s="802" t="s">
        <v>264</v>
      </c>
      <c r="AN11" s="799"/>
      <c r="AO11" s="799"/>
      <c r="AP11" s="799"/>
      <c r="AQ11" s="797"/>
      <c r="AR11" s="797"/>
      <c r="AS11" s="794"/>
      <c r="AT11" s="794">
        <v>1970</v>
      </c>
      <c r="AU11" s="794">
        <v>0.8</v>
      </c>
      <c r="AV11" s="808">
        <f t="shared" ref="AV11:AV40" si="0">AU11*$AV$10</f>
        <v>7.9200000000000008</v>
      </c>
      <c r="AW11" s="794">
        <v>1.5</v>
      </c>
      <c r="AX11" s="809">
        <f t="shared" ref="AX11:AX56" si="1">AW11*$AX$10</f>
        <v>16.649999999999999</v>
      </c>
      <c r="AY11" s="794">
        <v>6.5</v>
      </c>
      <c r="AZ11" s="794"/>
      <c r="BA11" s="810">
        <f t="shared" ref="BA11:BA54" si="2">($AV$55/AV11)^(1/($AT$55-AT11))-1</f>
        <v>4.877148560547151E-2</v>
      </c>
      <c r="BB11" s="811">
        <f t="shared" ref="BB11:BB52" si="3">($AV$53/AV11)^(1/($AT$53-AT11))-1</f>
        <v>5.5094829797656786E-2</v>
      </c>
      <c r="BC11" s="811">
        <f t="shared" ref="BC11:BC51" si="4">($AV$52/AV11)^(1/($AT$52-AT11))-1</f>
        <v>5.4313312794861401E-2</v>
      </c>
      <c r="BD11" s="811">
        <f t="shared" ref="BD11:BD50" si="5">($AV$51/AV11)^(1/($AT$51-AT11))-1</f>
        <v>4.9580067007417128E-2</v>
      </c>
      <c r="BE11" s="282"/>
      <c r="BF11" s="282"/>
      <c r="BG11" s="282"/>
    </row>
    <row r="12" spans="1:59">
      <c r="A12" s="11"/>
      <c r="B12" s="11"/>
      <c r="C12" s="11"/>
      <c r="D12" s="11"/>
      <c r="E12" s="11"/>
      <c r="F12" s="11"/>
      <c r="G12" s="11"/>
      <c r="H12" s="11"/>
      <c r="I12" s="11"/>
      <c r="J12" s="11"/>
      <c r="K12" s="11"/>
      <c r="L12" s="11"/>
      <c r="M12" s="11"/>
      <c r="O12" s="812" t="s">
        <v>243</v>
      </c>
      <c r="S12" s="794"/>
      <c r="T12" s="794"/>
      <c r="U12" s="794"/>
      <c r="V12" s="794"/>
      <c r="W12" s="794"/>
      <c r="X12" s="794"/>
      <c r="Y12" s="813">
        <v>1</v>
      </c>
      <c r="Z12" s="814">
        <f>Solarwärme!D32*Solarwärme!D33*(1+(Solarwärme!$D$34/100))</f>
        <v>2215.5</v>
      </c>
      <c r="AA12" s="807">
        <f t="shared" ref="AA12:AA41" si="6">Z12-AK13</f>
        <v>1970.5</v>
      </c>
      <c r="AB12" s="807">
        <f>Z12-AA12</f>
        <v>245</v>
      </c>
      <c r="AC12" s="815">
        <v>0</v>
      </c>
      <c r="AD12" s="815"/>
      <c r="AE12" s="815"/>
      <c r="AF12" s="815"/>
      <c r="AG12" s="815"/>
      <c r="AH12" s="815"/>
      <c r="AI12" s="816">
        <f>(L72)*100</f>
        <v>3.5000000000000004</v>
      </c>
      <c r="AJ12" s="815"/>
      <c r="AK12" s="815"/>
      <c r="AL12" s="817">
        <f>AO12</f>
        <v>-7700</v>
      </c>
      <c r="AM12" s="817">
        <f>AO12</f>
        <v>-7700</v>
      </c>
      <c r="AN12" s="818">
        <v>0</v>
      </c>
      <c r="AO12" s="817">
        <f>Solarwärme!D40*(-1)</f>
        <v>-7700</v>
      </c>
      <c r="AP12" s="817">
        <f>AO12</f>
        <v>-7700</v>
      </c>
      <c r="AQ12" s="817"/>
      <c r="AR12" s="817"/>
      <c r="AS12" s="809">
        <f>(AV11*(1+($BB$56)))</f>
        <v>8.3563510519974429</v>
      </c>
      <c r="AT12" s="794">
        <v>1971</v>
      </c>
      <c r="AU12" s="794">
        <v>0.9</v>
      </c>
      <c r="AV12" s="809">
        <f t="shared" si="0"/>
        <v>8.91</v>
      </c>
      <c r="AW12" s="794">
        <v>1.4</v>
      </c>
      <c r="AX12" s="809">
        <f t="shared" si="1"/>
        <v>15.54</v>
      </c>
      <c r="AY12" s="794">
        <v>6.4</v>
      </c>
      <c r="AZ12" s="794"/>
      <c r="BA12" s="810">
        <f t="shared" si="2"/>
        <v>4.7061589112085356E-2</v>
      </c>
      <c r="BB12" s="811">
        <f t="shared" si="3"/>
        <v>5.3445221880851879E-2</v>
      </c>
      <c r="BC12" s="811">
        <f t="shared" si="4"/>
        <v>5.2604250933417918E-2</v>
      </c>
      <c r="BD12" s="811">
        <f t="shared" si="5"/>
        <v>4.77142046049015E-2</v>
      </c>
      <c r="BE12" s="282"/>
      <c r="BF12" s="282"/>
      <c r="BG12" s="282"/>
    </row>
    <row r="13" spans="1:59">
      <c r="A13" s="11"/>
      <c r="B13" s="11"/>
      <c r="C13" s="11"/>
      <c r="D13" s="11"/>
      <c r="E13" s="11"/>
      <c r="F13" s="11"/>
      <c r="G13" s="11"/>
      <c r="H13" s="11"/>
      <c r="I13" s="11"/>
      <c r="J13" s="11"/>
      <c r="K13" s="11"/>
      <c r="L13" s="11"/>
      <c r="M13" s="11"/>
      <c r="O13" s="812" t="s">
        <v>263</v>
      </c>
      <c r="S13" s="794"/>
      <c r="T13" s="794"/>
      <c r="U13" s="819"/>
      <c r="V13" s="794"/>
      <c r="W13" s="794"/>
      <c r="X13" s="794"/>
      <c r="Y13" s="813">
        <v>2</v>
      </c>
      <c r="Z13" s="814">
        <f>Z12*(1+(Solarwärme!$D$34/100))</f>
        <v>2337.3525</v>
      </c>
      <c r="AA13" s="807">
        <f t="shared" si="6"/>
        <v>2074.6224999999999</v>
      </c>
      <c r="AB13" s="807">
        <f t="shared" ref="AB13:AB41" si="7">Z13-AA13+AB12</f>
        <v>507.73</v>
      </c>
      <c r="AC13" s="794">
        <v>1</v>
      </c>
      <c r="AD13" s="820">
        <f>Solarwärme!$H$38</f>
        <v>5940</v>
      </c>
      <c r="AE13" s="821">
        <f>Solarwärme!$H$38</f>
        <v>5940</v>
      </c>
      <c r="AF13" s="807">
        <f>($AE$13/Solarwärme!$G$31)*(Solarwärme!$D$33*((1+(Solarwärme!$D$34/100))^($AC13-1)))</f>
        <v>360</v>
      </c>
      <c r="AG13" s="807">
        <f>($AE$13/Solarwärme!$G$31)*(Solarwärme!$D$33*((1+((Solarwärme!$D$34-2)/100))^($AC13-1)))</f>
        <v>360</v>
      </c>
      <c r="AH13" s="807">
        <f>($AE$13/Solarwärme!$G$31)*(Solarwärme!$D$33*((1+((Solarwärme!$D$34+2)/100))^($AC13-1)))</f>
        <v>360</v>
      </c>
      <c r="AI13" s="807">
        <f>Solarwärme!$D$38*50*((1+($AI$12/100))^(AC13-1))</f>
        <v>0</v>
      </c>
      <c r="AJ13" s="807">
        <f>Solarwärme!$G$71*(Solarwärme!$D$35)*((1+Solarwärme!$L$71)^(AC13-1))</f>
        <v>115</v>
      </c>
      <c r="AK13" s="807">
        <f>AF13+$AI13-$AJ13</f>
        <v>245</v>
      </c>
      <c r="AL13" s="807">
        <f>AG13+$AI13-$AJ13</f>
        <v>245</v>
      </c>
      <c r="AM13" s="807">
        <f>AH13+$AI13-$AJ13</f>
        <v>245</v>
      </c>
      <c r="AN13" s="794">
        <v>1</v>
      </c>
      <c r="AO13" s="822">
        <f t="shared" ref="AO13:AO42" si="8">AO12+AK13</f>
        <v>-7455</v>
      </c>
      <c r="AP13" s="822">
        <f t="shared" ref="AP13:AP42" si="9">AK13</f>
        <v>245</v>
      </c>
      <c r="AQ13" s="822"/>
      <c r="AR13" s="822"/>
      <c r="AS13" s="809">
        <f t="shared" ref="AS13:AS56" si="10">(AS12*(1+($BB$56)))</f>
        <v>8.8167427909367131</v>
      </c>
      <c r="AT13" s="794">
        <v>1972</v>
      </c>
      <c r="AU13" s="794">
        <v>0.8</v>
      </c>
      <c r="AV13" s="809">
        <f t="shared" si="0"/>
        <v>7.9200000000000008</v>
      </c>
      <c r="AW13" s="794">
        <v>1.5</v>
      </c>
      <c r="AX13" s="809">
        <f t="shared" si="1"/>
        <v>16.649999999999999</v>
      </c>
      <c r="AY13" s="794">
        <v>6.7</v>
      </c>
      <c r="AZ13" s="794"/>
      <c r="BA13" s="810">
        <f t="shared" si="2"/>
        <v>5.1152371527725338E-2</v>
      </c>
      <c r="BB13" s="811">
        <f t="shared" si="3"/>
        <v>5.7927897603086587E-2</v>
      </c>
      <c r="BC13" s="811">
        <f t="shared" si="4"/>
        <v>5.7176798427702291E-2</v>
      </c>
      <c r="BD13" s="811">
        <f t="shared" si="5"/>
        <v>5.2256596803102351E-2</v>
      </c>
      <c r="BE13" s="282"/>
      <c r="BF13" s="282"/>
      <c r="BG13" s="282"/>
    </row>
    <row r="14" spans="1:59">
      <c r="A14" s="11"/>
      <c r="B14" s="11"/>
      <c r="C14" s="11"/>
      <c r="D14" s="11"/>
      <c r="E14" s="11"/>
      <c r="F14" s="11"/>
      <c r="G14" s="11"/>
      <c r="H14" s="11"/>
      <c r="I14" s="11"/>
      <c r="J14" s="11"/>
      <c r="K14" s="11"/>
      <c r="L14" s="11"/>
      <c r="M14" s="11"/>
      <c r="O14" s="823" t="s">
        <v>262</v>
      </c>
      <c r="S14" s="794"/>
      <c r="T14" s="794"/>
      <c r="U14" s="819"/>
      <c r="V14" s="794"/>
      <c r="W14" s="794"/>
      <c r="X14" s="794" t="s">
        <v>261</v>
      </c>
      <c r="Y14" s="813">
        <v>3</v>
      </c>
      <c r="Z14" s="814">
        <f>Z13*(1+(Solarwärme!$D$34/100))</f>
        <v>2465.9068874999998</v>
      </c>
      <c r="AA14" s="807">
        <f t="shared" si="6"/>
        <v>2184.3951474999999</v>
      </c>
      <c r="AB14" s="807">
        <f t="shared" si="7"/>
        <v>789.24173999999994</v>
      </c>
      <c r="AC14" s="794">
        <v>2</v>
      </c>
      <c r="AD14" s="820">
        <f>Solarwärme!$H$38</f>
        <v>5940</v>
      </c>
      <c r="AE14" s="821">
        <f>Solarwärme!$H$38</f>
        <v>5940</v>
      </c>
      <c r="AF14" s="807">
        <f>($AE$13/Solarwärme!$G$31)*(Solarwärme!$D$33*((1+(Solarwärme!$D$34/100))^(AC14-1)))</f>
        <v>379.79999999999995</v>
      </c>
      <c r="AG14" s="807">
        <f>($AE$13/Solarwärme!$G$31)*(Solarwärme!$D$33*((1+((Solarwärme!$D$34-2)/100))^($AC14-1)))</f>
        <v>372.59999999999991</v>
      </c>
      <c r="AH14" s="807">
        <f>($AE$13/Solarwärme!$G$31)*(Solarwärme!$D$33*((1+((Solarwärme!$D$34+2)/100))^($AC14-1)))</f>
        <v>386.99999999999994</v>
      </c>
      <c r="AI14" s="807">
        <f>Solarwärme!$D$38*50*((1+($AI$12/100))^(AC14-1))</f>
        <v>0</v>
      </c>
      <c r="AJ14" s="807">
        <f>Solarwärme!$G$71*(Solarwärme!$D$35)*((1+Solarwärme!$L$71)^(AC14-1))</f>
        <v>117.07000000000001</v>
      </c>
      <c r="AK14" s="807">
        <f t="shared" ref="AK14:AK42" si="11">AF14+AI14-AJ14</f>
        <v>262.72999999999996</v>
      </c>
      <c r="AL14" s="807">
        <f t="shared" ref="AL14:AL42" si="12">AG14+$AI14-$AJ14</f>
        <v>255.52999999999992</v>
      </c>
      <c r="AM14" s="807">
        <f t="shared" ref="AM14:AM42" si="13">AH14+$AI14-$AJ14</f>
        <v>269.92999999999995</v>
      </c>
      <c r="AN14" s="794">
        <v>2</v>
      </c>
      <c r="AO14" s="822">
        <f t="shared" si="8"/>
        <v>-7192.27</v>
      </c>
      <c r="AP14" s="822">
        <f t="shared" si="9"/>
        <v>262.72999999999996</v>
      </c>
      <c r="AQ14" s="822"/>
      <c r="AR14" s="822"/>
      <c r="AS14" s="809">
        <f t="shared" si="10"/>
        <v>9.3024997343730895</v>
      </c>
      <c r="AT14" s="794">
        <v>1973</v>
      </c>
      <c r="AU14" s="794">
        <v>1.2</v>
      </c>
      <c r="AV14" s="809">
        <f t="shared" si="0"/>
        <v>11.88</v>
      </c>
      <c r="AW14" s="794">
        <v>1.5</v>
      </c>
      <c r="AX14" s="809">
        <f t="shared" si="1"/>
        <v>16.649999999999999</v>
      </c>
      <c r="AY14" s="794">
        <v>6.8</v>
      </c>
      <c r="AZ14" s="794"/>
      <c r="BA14" s="810">
        <f t="shared" si="2"/>
        <v>4.2075527292334769E-2</v>
      </c>
      <c r="BB14" s="811">
        <f t="shared" si="3"/>
        <v>4.8498920983006677E-2</v>
      </c>
      <c r="BC14" s="811">
        <f t="shared" si="4"/>
        <v>4.7488120813719004E-2</v>
      </c>
      <c r="BD14" s="811">
        <f t="shared" si="5"/>
        <v>4.2222192399727021E-2</v>
      </c>
      <c r="BE14" s="282"/>
      <c r="BF14" s="282"/>
      <c r="BG14" s="282"/>
    </row>
    <row r="15" spans="1:59">
      <c r="A15" s="11"/>
      <c r="B15" s="11"/>
      <c r="C15" s="11"/>
      <c r="D15" s="11"/>
      <c r="E15" s="11"/>
      <c r="F15" s="11"/>
      <c r="G15" s="11"/>
      <c r="H15" s="11"/>
      <c r="I15" s="11"/>
      <c r="J15" s="11"/>
      <c r="K15" s="11"/>
      <c r="L15" s="11"/>
      <c r="M15" s="11"/>
      <c r="O15" s="280" t="s">
        <v>260</v>
      </c>
      <c r="S15" s="794" t="s">
        <v>231</v>
      </c>
      <c r="T15" s="822">
        <v>9.9</v>
      </c>
      <c r="U15" s="824" t="s">
        <v>259</v>
      </c>
      <c r="V15" s="794" t="s">
        <v>258</v>
      </c>
      <c r="W15" s="794" t="s">
        <v>257</v>
      </c>
      <c r="X15" s="794">
        <v>2.8</v>
      </c>
      <c r="Y15" s="813">
        <v>4</v>
      </c>
      <c r="Z15" s="814">
        <f>Z14*(1+(Solarwärme!$D$34/100))</f>
        <v>2601.5317663124997</v>
      </c>
      <c r="AA15" s="807">
        <f t="shared" si="6"/>
        <v>2300.1273219924997</v>
      </c>
      <c r="AB15" s="807">
        <f t="shared" si="7"/>
        <v>1090.64618432</v>
      </c>
      <c r="AC15" s="794">
        <v>3</v>
      </c>
      <c r="AD15" s="820">
        <f>Solarwärme!$H$38</f>
        <v>5940</v>
      </c>
      <c r="AE15" s="821">
        <f>Solarwärme!$H$38</f>
        <v>5940</v>
      </c>
      <c r="AF15" s="807">
        <f>($AE$13/Solarwärme!$G$31)*(Solarwärme!$D$33*((1+(Solarwärme!$D$34/100))^(AC15-1)))</f>
        <v>400.68899999999996</v>
      </c>
      <c r="AG15" s="807">
        <f>($AE$13/Solarwärme!$G$31)*(Solarwärme!$D$33*((1+((Solarwärme!$D$34-2)/100))^($AC15-1)))</f>
        <v>385.64099999999996</v>
      </c>
      <c r="AH15" s="807">
        <f>($AE$13/Solarwärme!$G$31)*(Solarwärme!$D$33*((1+((Solarwärme!$D$34+2)/100))^($AC15-1)))</f>
        <v>416.02499999999998</v>
      </c>
      <c r="AI15" s="807">
        <f>Solarwärme!$D$38*50*((1+($AI$12/100))^(AC15-1))</f>
        <v>0</v>
      </c>
      <c r="AJ15" s="807">
        <f>Solarwärme!$G$71*(Solarwärme!$D$35)*((1+Solarwärme!$L$71)^(AC15-1))</f>
        <v>119.17726</v>
      </c>
      <c r="AK15" s="807">
        <f t="shared" si="11"/>
        <v>281.51173999999997</v>
      </c>
      <c r="AL15" s="807">
        <f t="shared" si="12"/>
        <v>266.46373999999997</v>
      </c>
      <c r="AM15" s="807">
        <f t="shared" si="13"/>
        <v>296.84773999999999</v>
      </c>
      <c r="AN15" s="794">
        <v>3</v>
      </c>
      <c r="AO15" s="822">
        <f t="shared" si="8"/>
        <v>-6910.7582600000005</v>
      </c>
      <c r="AP15" s="822">
        <f t="shared" si="9"/>
        <v>281.51173999999997</v>
      </c>
      <c r="AQ15" s="822"/>
      <c r="AR15" s="822"/>
      <c r="AS15" s="809">
        <f t="shared" si="10"/>
        <v>9.815019373931122</v>
      </c>
      <c r="AT15" s="794">
        <v>1974</v>
      </c>
      <c r="AU15" s="794">
        <v>1.5</v>
      </c>
      <c r="AV15" s="809">
        <f t="shared" si="0"/>
        <v>14.850000000000001</v>
      </c>
      <c r="AW15" s="794">
        <v>1.75</v>
      </c>
      <c r="AX15" s="809">
        <f t="shared" si="1"/>
        <v>19.425000000000001</v>
      </c>
      <c r="AY15" s="794">
        <v>7</v>
      </c>
      <c r="AZ15" s="794"/>
      <c r="BA15" s="810">
        <f t="shared" si="2"/>
        <v>3.7346692065610476E-2</v>
      </c>
      <c r="BB15" s="811">
        <f t="shared" si="3"/>
        <v>4.3659876178562707E-2</v>
      </c>
      <c r="BC15" s="811">
        <f t="shared" si="4"/>
        <v>4.249621630003575E-2</v>
      </c>
      <c r="BD15" s="811">
        <f t="shared" si="5"/>
        <v>3.6972571922444297E-2</v>
      </c>
      <c r="BE15" s="282"/>
      <c r="BF15" s="282"/>
      <c r="BG15" s="282"/>
    </row>
    <row r="16" spans="1:59">
      <c r="A16" s="11"/>
      <c r="B16" s="11"/>
      <c r="C16" s="11"/>
      <c r="D16" s="11"/>
      <c r="E16" s="11"/>
      <c r="F16" s="11"/>
      <c r="G16" s="11"/>
      <c r="H16" s="11"/>
      <c r="I16" s="11"/>
      <c r="J16" s="11"/>
      <c r="K16" s="11"/>
      <c r="L16" s="11"/>
      <c r="M16" s="11"/>
      <c r="S16" s="794" t="s">
        <v>256</v>
      </c>
      <c r="T16" s="822">
        <v>11.1</v>
      </c>
      <c r="U16" s="824" t="s">
        <v>254</v>
      </c>
      <c r="V16" s="794" t="s">
        <v>253</v>
      </c>
      <c r="W16" s="794" t="s">
        <v>252</v>
      </c>
      <c r="X16" s="794">
        <v>2</v>
      </c>
      <c r="Y16" s="813">
        <v>5</v>
      </c>
      <c r="Z16" s="814">
        <f>Z15*(1+(Solarwärme!$D$34/100))</f>
        <v>2744.6160134596871</v>
      </c>
      <c r="AA16" s="807">
        <f t="shared" si="6"/>
        <v>2422.1453940269271</v>
      </c>
      <c r="AB16" s="807">
        <f t="shared" si="7"/>
        <v>1413.11680375276</v>
      </c>
      <c r="AC16" s="794">
        <v>4</v>
      </c>
      <c r="AD16" s="820">
        <f>Solarwärme!$H$38</f>
        <v>5940</v>
      </c>
      <c r="AE16" s="821">
        <f>Solarwärme!$H$38</f>
        <v>5940</v>
      </c>
      <c r="AF16" s="807">
        <f>($AE$13/Solarwärme!$G$31)*(Solarwärme!$D$33*((1+(Solarwärme!$D$34/100))^(AC16-1)))</f>
        <v>422.7268949999999</v>
      </c>
      <c r="AG16" s="807">
        <f>($AE$13/Solarwärme!$G$31)*(Solarwärme!$D$33*((1+((Solarwärme!$D$34-2)/100))^($AC16-1)))</f>
        <v>399.1384349999999</v>
      </c>
      <c r="AH16" s="807">
        <f>($AE$13/Solarwärme!$G$31)*(Solarwärme!$D$33*((1+((Solarwärme!$D$34+2)/100))^($AC16-1)))</f>
        <v>447.22687499999995</v>
      </c>
      <c r="AI16" s="807">
        <f>Solarwärme!$D$38*50*((1+($AI$12/100))^(AC16-1))</f>
        <v>0</v>
      </c>
      <c r="AJ16" s="807">
        <f>Solarwärme!$G$71*(Solarwärme!$D$35)*((1+Solarwärme!$L$71)^(AC16-1))</f>
        <v>121.32245068</v>
      </c>
      <c r="AK16" s="807">
        <f t="shared" si="11"/>
        <v>301.40444431999993</v>
      </c>
      <c r="AL16" s="807">
        <f t="shared" si="12"/>
        <v>277.81598431999987</v>
      </c>
      <c r="AM16" s="807">
        <f t="shared" si="13"/>
        <v>325.90442431999998</v>
      </c>
      <c r="AN16" s="794">
        <v>4</v>
      </c>
      <c r="AO16" s="822">
        <f t="shared" si="8"/>
        <v>-6609.3538156800005</v>
      </c>
      <c r="AP16" s="822">
        <f t="shared" si="9"/>
        <v>301.40444431999993</v>
      </c>
      <c r="AQ16" s="822"/>
      <c r="AR16" s="822"/>
      <c r="AS16" s="809">
        <f t="shared" si="10"/>
        <v>10.355776195798562</v>
      </c>
      <c r="AT16" s="794">
        <v>1975</v>
      </c>
      <c r="AU16" s="794">
        <v>1.45</v>
      </c>
      <c r="AV16" s="809">
        <f t="shared" si="0"/>
        <v>14.355</v>
      </c>
      <c r="AW16" s="794">
        <v>1.9</v>
      </c>
      <c r="AX16" s="809">
        <f t="shared" si="1"/>
        <v>21.09</v>
      </c>
      <c r="AY16" s="794">
        <v>8</v>
      </c>
      <c r="AZ16" s="794"/>
      <c r="BA16" s="810">
        <f t="shared" si="2"/>
        <v>3.9225396863364681E-2</v>
      </c>
      <c r="BB16" s="811">
        <f t="shared" si="3"/>
        <v>4.582376722557524E-2</v>
      </c>
      <c r="BC16" s="811">
        <f t="shared" si="4"/>
        <v>4.4685425445346816E-2</v>
      </c>
      <c r="BD16" s="811">
        <f t="shared" si="5"/>
        <v>3.9054738567198877E-2</v>
      </c>
      <c r="BE16" s="282"/>
      <c r="BF16" s="282"/>
      <c r="BG16" s="282"/>
    </row>
    <row r="17" spans="1:59">
      <c r="A17" s="11"/>
      <c r="B17" s="11"/>
      <c r="C17" s="11"/>
      <c r="D17" s="11"/>
      <c r="E17" s="11"/>
      <c r="F17" s="11"/>
      <c r="G17" s="11"/>
      <c r="H17" s="11"/>
      <c r="I17" s="11"/>
      <c r="J17" s="11"/>
      <c r="K17" s="11"/>
      <c r="L17" s="11"/>
      <c r="M17" s="11"/>
      <c r="O17" s="280" t="s">
        <v>29</v>
      </c>
      <c r="P17" s="280">
        <f>IF(L26="Ja",1.5,1)</f>
        <v>1</v>
      </c>
      <c r="S17" s="794" t="s">
        <v>255</v>
      </c>
      <c r="T17" s="794">
        <v>8.9</v>
      </c>
      <c r="U17" s="824" t="s">
        <v>254</v>
      </c>
      <c r="V17" s="794" t="s">
        <v>253</v>
      </c>
      <c r="W17" s="794" t="s">
        <v>252</v>
      </c>
      <c r="X17" s="794">
        <v>2</v>
      </c>
      <c r="Y17" s="813">
        <v>6</v>
      </c>
      <c r="Z17" s="814">
        <f>Z16*(1+(Solarwärme!$D$34/100))</f>
        <v>2895.5698941999699</v>
      </c>
      <c r="AA17" s="807">
        <f t="shared" si="6"/>
        <v>2550.7936592710953</v>
      </c>
      <c r="AB17" s="807">
        <f t="shared" si="7"/>
        <v>1757.8930386816346</v>
      </c>
      <c r="AC17" s="794">
        <v>5</v>
      </c>
      <c r="AD17" s="820">
        <f>Solarwärme!$H$38</f>
        <v>5940</v>
      </c>
      <c r="AE17" s="821">
        <f>Solarwärme!$H$38</f>
        <v>5940</v>
      </c>
      <c r="AF17" s="807">
        <f>($AE$13/Solarwärme!$G$31)*(Solarwärme!$D$33*((1+(Solarwärme!$D$34/100))^(AC17-1)))</f>
        <v>445.97687422499996</v>
      </c>
      <c r="AG17" s="807">
        <f>($AE$13/Solarwärme!$G$31)*(Solarwärme!$D$33*((1+((Solarwärme!$D$34-2)/100))^($AC17-1)))</f>
        <v>413.10828022499987</v>
      </c>
      <c r="AH17" s="807">
        <f>($AE$13/Solarwärme!$G$31)*(Solarwärme!$D$33*((1+((Solarwärme!$D$34+2)/100))^($AC17-1)))</f>
        <v>480.76889062499993</v>
      </c>
      <c r="AI17" s="807">
        <f>Solarwärme!$D$38*50*((1+($AI$12/100))^(AC17-1))</f>
        <v>0</v>
      </c>
      <c r="AJ17" s="807">
        <f>Solarwärme!$G$71*(Solarwärme!$D$35)*((1+Solarwärme!$L$71)^(AC17-1))</f>
        <v>123.50625479224</v>
      </c>
      <c r="AK17" s="807">
        <f t="shared" si="11"/>
        <v>322.47061943275997</v>
      </c>
      <c r="AL17" s="807">
        <f t="shared" si="12"/>
        <v>289.60202543275989</v>
      </c>
      <c r="AM17" s="807">
        <f t="shared" si="13"/>
        <v>357.26263583275994</v>
      </c>
      <c r="AN17" s="794">
        <v>5</v>
      </c>
      <c r="AO17" s="822">
        <f t="shared" si="8"/>
        <v>-6286.8831962472404</v>
      </c>
      <c r="AP17" s="822">
        <f t="shared" si="9"/>
        <v>322.47061943275997</v>
      </c>
      <c r="AQ17" s="822"/>
      <c r="AR17" s="822"/>
      <c r="AS17" s="809">
        <f t="shared" si="10"/>
        <v>10.92632592272871</v>
      </c>
      <c r="AT17" s="794">
        <v>1976</v>
      </c>
      <c r="AU17" s="794">
        <v>1.75</v>
      </c>
      <c r="AV17" s="809">
        <f t="shared" si="0"/>
        <v>17.324999999999999</v>
      </c>
      <c r="AW17" s="794">
        <v>2.15</v>
      </c>
      <c r="AX17" s="809">
        <f t="shared" si="1"/>
        <v>23.864999999999998</v>
      </c>
      <c r="AY17" s="794">
        <v>8.1</v>
      </c>
      <c r="AZ17" s="794"/>
      <c r="BA17" s="810">
        <f t="shared" si="2"/>
        <v>3.5142810591961338E-2</v>
      </c>
      <c r="BB17" s="811">
        <f t="shared" si="3"/>
        <v>4.1670605158847573E-2</v>
      </c>
      <c r="BC17" s="811">
        <f t="shared" si="4"/>
        <v>4.0386120656167979E-2</v>
      </c>
      <c r="BD17" s="811">
        <f t="shared" si="5"/>
        <v>3.4488655900758225E-2</v>
      </c>
      <c r="BE17" s="282"/>
      <c r="BF17" s="282"/>
      <c r="BG17" s="282"/>
    </row>
    <row r="18" spans="1:59">
      <c r="A18" s="11"/>
      <c r="B18" s="11"/>
      <c r="C18" s="11"/>
      <c r="D18" s="11"/>
      <c r="E18" s="11"/>
      <c r="F18" s="11"/>
      <c r="G18" s="11"/>
      <c r="H18" s="11"/>
      <c r="I18" s="11"/>
      <c r="J18" s="11"/>
      <c r="K18" s="11"/>
      <c r="L18" s="11"/>
      <c r="M18" s="11"/>
      <c r="O18" s="280" t="s">
        <v>30</v>
      </c>
      <c r="S18" s="280" t="s">
        <v>251</v>
      </c>
      <c r="T18" s="280">
        <v>12.87</v>
      </c>
      <c r="U18" s="824" t="s">
        <v>249</v>
      </c>
      <c r="V18" s="280" t="s">
        <v>248</v>
      </c>
      <c r="W18" s="794" t="s">
        <v>247</v>
      </c>
      <c r="X18" s="280">
        <v>3.29</v>
      </c>
      <c r="Y18" s="813">
        <v>7</v>
      </c>
      <c r="Z18" s="814">
        <f>Z17*(1+(Solarwärme!$D$34/100))</f>
        <v>3054.8262383809679</v>
      </c>
      <c r="AA18" s="807">
        <f t="shared" si="6"/>
        <v>2686.4353239380007</v>
      </c>
      <c r="AB18" s="807">
        <f t="shared" si="7"/>
        <v>2126.2839531246018</v>
      </c>
      <c r="AC18" s="794">
        <v>6</v>
      </c>
      <c r="AD18" s="820">
        <f>Solarwärme!$H$38</f>
        <v>5940</v>
      </c>
      <c r="AE18" s="821">
        <f>Solarwärme!$H$38</f>
        <v>5940</v>
      </c>
      <c r="AF18" s="807">
        <f>($AE$13/Solarwärme!$G$31)*(Solarwärme!$D$33*((1+(Solarwärme!$D$34/100))^(AC18-1)))</f>
        <v>470.50560230737489</v>
      </c>
      <c r="AG18" s="807">
        <f>($AE$13/Solarwärme!$G$31)*(Solarwärme!$D$33*((1+((Solarwärme!$D$34-2)/100))^($AC18-1)))</f>
        <v>427.56707003287482</v>
      </c>
      <c r="AH18" s="807">
        <f>($AE$13/Solarwärme!$G$31)*(Solarwärme!$D$33*((1+((Solarwärme!$D$34+2)/100))^($AC18-1)))</f>
        <v>516.8265574218749</v>
      </c>
      <c r="AI18" s="807">
        <f>Solarwärme!$D$38*50*((1+($AI$12/100))^(AC18-1))</f>
        <v>0</v>
      </c>
      <c r="AJ18" s="807">
        <f>Solarwärme!$G$71*(Solarwärme!$D$35)*((1+Solarwärme!$L$71)^(AC18-1))</f>
        <v>125.72936737850033</v>
      </c>
      <c r="AK18" s="807">
        <f t="shared" si="11"/>
        <v>344.77623492887454</v>
      </c>
      <c r="AL18" s="807">
        <f t="shared" si="12"/>
        <v>301.83770265437448</v>
      </c>
      <c r="AM18" s="807">
        <f t="shared" si="13"/>
        <v>391.09719004337455</v>
      </c>
      <c r="AN18" s="794">
        <v>6</v>
      </c>
      <c r="AO18" s="822">
        <f t="shared" si="8"/>
        <v>-5942.1069613183663</v>
      </c>
      <c r="AP18" s="822">
        <f t="shared" si="9"/>
        <v>344.77623492887454</v>
      </c>
      <c r="AQ18" s="822"/>
      <c r="AR18" s="822"/>
      <c r="AS18" s="809">
        <f t="shared" si="10"/>
        <v>11.528309989755174</v>
      </c>
      <c r="AT18" s="794">
        <v>1977</v>
      </c>
      <c r="AU18" s="794">
        <v>1.7</v>
      </c>
      <c r="AV18" s="809">
        <f t="shared" si="0"/>
        <v>16.830000000000002</v>
      </c>
      <c r="AW18" s="794">
        <v>2.2000000000000002</v>
      </c>
      <c r="AX18" s="809">
        <f t="shared" si="1"/>
        <v>24.42</v>
      </c>
      <c r="AY18" s="794">
        <v>8</v>
      </c>
      <c r="AZ18" s="794"/>
      <c r="BA18" s="810">
        <f t="shared" si="2"/>
        <v>3.6921619655521098E-2</v>
      </c>
      <c r="BB18" s="811">
        <f t="shared" si="3"/>
        <v>4.375046378989067E-2</v>
      </c>
      <c r="BC18" s="811">
        <f t="shared" si="4"/>
        <v>4.2486741669993222E-2</v>
      </c>
      <c r="BD18" s="811">
        <f t="shared" si="5"/>
        <v>3.6462170693642326E-2</v>
      </c>
      <c r="BE18" s="282"/>
      <c r="BF18" s="282"/>
      <c r="BG18" s="282"/>
    </row>
    <row r="19" spans="1:59">
      <c r="A19" s="11"/>
      <c r="B19" s="11"/>
      <c r="C19" s="11"/>
      <c r="D19" s="11"/>
      <c r="E19" s="11"/>
      <c r="F19" s="11"/>
      <c r="G19" s="11"/>
      <c r="H19" s="11"/>
      <c r="I19" s="11"/>
      <c r="J19" s="11"/>
      <c r="K19" s="11"/>
      <c r="L19" s="11"/>
      <c r="M19" s="11"/>
      <c r="S19" s="794" t="s">
        <v>250</v>
      </c>
      <c r="T19" s="822">
        <v>4.9000000000000004</v>
      </c>
      <c r="U19" s="824" t="s">
        <v>249</v>
      </c>
      <c r="V19" s="794" t="s">
        <v>248</v>
      </c>
      <c r="W19" s="794" t="s">
        <v>247</v>
      </c>
      <c r="X19" s="794"/>
      <c r="Y19" s="813">
        <v>8</v>
      </c>
      <c r="Z19" s="814">
        <f>Z18*(1+(Solarwärme!$D$34/100))</f>
        <v>3222.841681491921</v>
      </c>
      <c r="AA19" s="807">
        <f t="shared" si="6"/>
        <v>2829.453544402912</v>
      </c>
      <c r="AB19" s="807">
        <f t="shared" si="7"/>
        <v>2519.6720902136108</v>
      </c>
      <c r="AC19" s="794">
        <v>7</v>
      </c>
      <c r="AD19" s="820">
        <f>Solarwärme!$H$38</f>
        <v>5940</v>
      </c>
      <c r="AE19" s="821">
        <f>Solarwärme!$H$38</f>
        <v>5940</v>
      </c>
      <c r="AF19" s="807">
        <f>($AE$13/Solarwärme!$G$31)*(Solarwärme!$D$33*((1+(Solarwärme!$D$34/100))^(AC19-1)))</f>
        <v>496.38341043428045</v>
      </c>
      <c r="AG19" s="807">
        <f>($AE$13/Solarwärme!$G$31)*(Solarwärme!$D$33*((1+((Solarwärme!$D$34-2)/100))^($AC19-1)))</f>
        <v>442.53191748402543</v>
      </c>
      <c r="AH19" s="807">
        <f>($AE$13/Solarwärme!$G$31)*(Solarwärme!$D$33*((1+((Solarwärme!$D$34+2)/100))^($AC19-1)))</f>
        <v>555.58854922851549</v>
      </c>
      <c r="AI19" s="807">
        <f>Solarwärme!$D$38*50*((1+($AI$12/100))^(AC19-1))</f>
        <v>0</v>
      </c>
      <c r="AJ19" s="807">
        <f>Solarwärme!$G$71*(Solarwärme!$D$35)*((1+Solarwärme!$L$71)^(AC19-1))</f>
        <v>127.99249599131333</v>
      </c>
      <c r="AK19" s="807">
        <f t="shared" si="11"/>
        <v>368.39091444296713</v>
      </c>
      <c r="AL19" s="807">
        <f t="shared" si="12"/>
        <v>314.53942149271211</v>
      </c>
      <c r="AM19" s="807">
        <f t="shared" si="13"/>
        <v>427.59605323720217</v>
      </c>
      <c r="AN19" s="794">
        <v>7</v>
      </c>
      <c r="AO19" s="822">
        <f t="shared" si="8"/>
        <v>-5573.7160468753991</v>
      </c>
      <c r="AP19" s="822">
        <f t="shared" si="9"/>
        <v>368.39091444296713</v>
      </c>
      <c r="AQ19" s="822"/>
      <c r="AR19" s="822"/>
      <c r="AS19" s="809">
        <f t="shared" si="10"/>
        <v>12.163460266495361</v>
      </c>
      <c r="AT19" s="794">
        <v>1978</v>
      </c>
      <c r="AU19" s="794">
        <v>1.65</v>
      </c>
      <c r="AV19" s="809">
        <f t="shared" si="0"/>
        <v>16.335000000000001</v>
      </c>
      <c r="AW19" s="794">
        <v>2.2000000000000002</v>
      </c>
      <c r="AX19" s="809">
        <f t="shared" si="1"/>
        <v>24.42</v>
      </c>
      <c r="AY19" s="794">
        <v>8.1</v>
      </c>
      <c r="AZ19" s="794"/>
      <c r="BA19" s="810">
        <f t="shared" si="2"/>
        <v>3.882754045295167E-2</v>
      </c>
      <c r="BB19" s="811">
        <f t="shared" si="3"/>
        <v>4.5983817426315188E-2</v>
      </c>
      <c r="BC19" s="811">
        <f t="shared" si="4"/>
        <v>4.4746706082787524E-2</v>
      </c>
      <c r="BD19" s="811">
        <f t="shared" si="5"/>
        <v>3.859124342775333E-2</v>
      </c>
      <c r="BE19" s="282"/>
      <c r="BF19" s="282"/>
      <c r="BG19" s="282"/>
    </row>
    <row r="20" spans="1:59" ht="2.25" customHeight="1">
      <c r="A20" s="11"/>
      <c r="B20" s="11"/>
      <c r="C20" s="11"/>
      <c r="D20" s="11"/>
      <c r="E20" s="11"/>
      <c r="F20" s="11"/>
      <c r="G20" s="11"/>
      <c r="H20" s="11"/>
      <c r="I20" s="11"/>
      <c r="J20" s="11"/>
      <c r="K20" s="11"/>
      <c r="L20" s="11"/>
      <c r="M20" s="11"/>
      <c r="S20" s="794" t="s">
        <v>246</v>
      </c>
      <c r="T20" s="822">
        <v>1</v>
      </c>
      <c r="U20" s="824" t="s">
        <v>226</v>
      </c>
      <c r="V20" s="794" t="s">
        <v>226</v>
      </c>
      <c r="W20" s="794" t="s">
        <v>245</v>
      </c>
      <c r="X20" s="794">
        <v>0.59</v>
      </c>
      <c r="Y20" s="813">
        <v>9</v>
      </c>
      <c r="Z20" s="814">
        <f>Z19*(1+(Solarwärme!$D$34/100))</f>
        <v>3400.0979739739764</v>
      </c>
      <c r="AA20" s="807">
        <f t="shared" si="6"/>
        <v>2980.2525239910633</v>
      </c>
      <c r="AB20" s="807">
        <f t="shared" si="7"/>
        <v>2939.5175401965239</v>
      </c>
      <c r="AC20" s="794">
        <v>8</v>
      </c>
      <c r="AD20" s="820">
        <f>Solarwärme!$H$38</f>
        <v>5940</v>
      </c>
      <c r="AE20" s="821">
        <f>Solarwärme!$H$38</f>
        <v>5940</v>
      </c>
      <c r="AF20" s="807">
        <f>($AE$13/Solarwärme!$G$31)*(Solarwärme!$D$33*((1+(Solarwärme!$D$34/100))^(AC20-1)))</f>
        <v>523.68449800816586</v>
      </c>
      <c r="AG20" s="807">
        <f>($AE$13/Solarwärme!$G$31)*(Solarwärme!$D$33*((1+((Solarwärme!$D$34-2)/100))^($AC20-1)))</f>
        <v>458.0205345959663</v>
      </c>
      <c r="AH20" s="807">
        <f>($AE$13/Solarwärme!$G$31)*(Solarwärme!$D$33*((1+((Solarwärme!$D$34+2)/100))^($AC20-1)))</f>
        <v>597.25769042065417</v>
      </c>
      <c r="AI20" s="807">
        <f>Solarwärme!$D$38*50*((1+($AI$12/100))^(AC20-1))</f>
        <v>0</v>
      </c>
      <c r="AJ20" s="807">
        <f>Solarwärme!$G$71*(Solarwärme!$D$35)*((1+Solarwärme!$L$71)^(AC20-1))</f>
        <v>130.296360919157</v>
      </c>
      <c r="AK20" s="807">
        <f t="shared" si="11"/>
        <v>393.38813708900886</v>
      </c>
      <c r="AL20" s="807">
        <f t="shared" si="12"/>
        <v>327.7241736768093</v>
      </c>
      <c r="AM20" s="807">
        <f t="shared" si="13"/>
        <v>466.96132950149718</v>
      </c>
      <c r="AN20" s="794">
        <v>8</v>
      </c>
      <c r="AO20" s="822">
        <f t="shared" si="8"/>
        <v>-5180.3279097863906</v>
      </c>
      <c r="AP20" s="822">
        <f t="shared" si="9"/>
        <v>393.38813708900886</v>
      </c>
      <c r="AQ20" s="822"/>
      <c r="AR20" s="822"/>
      <c r="AS20" s="809">
        <f t="shared" si="10"/>
        <v>12.833604039628485</v>
      </c>
      <c r="AT20" s="794">
        <v>1979</v>
      </c>
      <c r="AU20" s="794">
        <v>2.8</v>
      </c>
      <c r="AV20" s="809">
        <f t="shared" si="0"/>
        <v>27.72</v>
      </c>
      <c r="AW20" s="794">
        <v>2.25</v>
      </c>
      <c r="AX20" s="809">
        <f t="shared" si="1"/>
        <v>24.974999999999998</v>
      </c>
      <c r="AY20" s="794">
        <v>8.1</v>
      </c>
      <c r="AZ20" s="794"/>
      <c r="BA20" s="810">
        <f t="shared" si="2"/>
        <v>2.4363294202572439E-2</v>
      </c>
      <c r="BB20" s="811">
        <f t="shared" si="3"/>
        <v>3.0758228277552258E-2</v>
      </c>
      <c r="BC20" s="811">
        <f t="shared" si="4"/>
        <v>2.9029415201917708E-2</v>
      </c>
      <c r="BD20" s="811">
        <f t="shared" si="5"/>
        <v>2.2271581672112184E-2</v>
      </c>
      <c r="BE20" s="282"/>
      <c r="BF20" s="282"/>
      <c r="BG20" s="282"/>
    </row>
    <row r="21" spans="1:59" ht="2.25" customHeight="1">
      <c r="A21" s="11"/>
      <c r="B21" s="11"/>
      <c r="C21" s="11"/>
      <c r="D21" s="11"/>
      <c r="E21" s="11"/>
      <c r="F21" s="11"/>
      <c r="G21" s="11"/>
      <c r="H21" s="11"/>
      <c r="I21" s="11"/>
      <c r="J21" s="11"/>
      <c r="K21" s="11"/>
      <c r="L21" s="11"/>
      <c r="M21" s="11"/>
      <c r="W21" s="794"/>
      <c r="X21" s="794"/>
      <c r="Y21" s="813">
        <v>10</v>
      </c>
      <c r="Z21" s="814">
        <f>Z20*(1+(Solarwärme!$D$34/100))</f>
        <v>3587.1033625425448</v>
      </c>
      <c r="AA21" s="807">
        <f t="shared" si="6"/>
        <v>3139.2586700801903</v>
      </c>
      <c r="AB21" s="807">
        <f t="shared" si="7"/>
        <v>3387.3622326588784</v>
      </c>
      <c r="AC21" s="794">
        <v>9</v>
      </c>
      <c r="AD21" s="820">
        <f>Solarwärme!$H$38</f>
        <v>5940</v>
      </c>
      <c r="AE21" s="821">
        <f>Solarwärme!$H$38</f>
        <v>5940</v>
      </c>
      <c r="AF21" s="807">
        <f>($AE$13/Solarwärme!$G$31)*(Solarwärme!$D$33*((1+(Solarwärme!$D$34/100))^(AC21-1)))</f>
        <v>552.48714539861498</v>
      </c>
      <c r="AG21" s="807">
        <f>($AE$13/Solarwärme!$G$31)*(Solarwärme!$D$33*((1+((Solarwärme!$D$34-2)/100))^($AC21-1)))</f>
        <v>474.051253306825</v>
      </c>
      <c r="AH21" s="807">
        <f>($AE$13/Solarwärme!$G$31)*(Solarwärme!$D$33*((1+((Solarwärme!$D$34+2)/100))^($AC21-1)))</f>
        <v>642.05201720220327</v>
      </c>
      <c r="AI21" s="807">
        <f>Solarwärme!$D$38*50*((1+($AI$12/100))^(AC21-1))</f>
        <v>0</v>
      </c>
      <c r="AJ21" s="807">
        <f>Solarwärme!$G$71*(Solarwärme!$D$35)*((1+Solarwärme!$L$71)^(AC21-1))</f>
        <v>132.6416954157018</v>
      </c>
      <c r="AK21" s="807">
        <f t="shared" si="11"/>
        <v>419.84544998291318</v>
      </c>
      <c r="AL21" s="807">
        <f t="shared" si="12"/>
        <v>341.4095578911232</v>
      </c>
      <c r="AM21" s="807">
        <f t="shared" si="13"/>
        <v>509.41032178650147</v>
      </c>
      <c r="AN21" s="794">
        <v>9</v>
      </c>
      <c r="AO21" s="822">
        <f t="shared" si="8"/>
        <v>-4760.4824598034775</v>
      </c>
      <c r="AP21" s="822">
        <f t="shared" si="9"/>
        <v>419.84544998291318</v>
      </c>
      <c r="AQ21" s="822"/>
      <c r="AR21" s="822"/>
      <c r="AS21" s="809">
        <f t="shared" si="10"/>
        <v>13.540669269882336</v>
      </c>
      <c r="AT21" s="794">
        <v>1980</v>
      </c>
      <c r="AU21" s="794">
        <v>3.2</v>
      </c>
      <c r="AV21" s="809">
        <f t="shared" si="0"/>
        <v>31.680000000000003</v>
      </c>
      <c r="AW21" s="794">
        <v>2.6</v>
      </c>
      <c r="AX21" s="809">
        <f t="shared" si="1"/>
        <v>28.86</v>
      </c>
      <c r="AY21" s="794">
        <v>8.6</v>
      </c>
      <c r="AZ21" s="794"/>
      <c r="BA21" s="810">
        <f t="shared" si="2"/>
        <v>2.1070745346088549E-2</v>
      </c>
      <c r="BB21" s="811">
        <f t="shared" si="3"/>
        <v>2.7438208601041403E-2</v>
      </c>
      <c r="BC21" s="811">
        <f t="shared" si="4"/>
        <v>2.5552689478925528E-2</v>
      </c>
      <c r="BD21" s="811">
        <f t="shared" si="5"/>
        <v>1.8479048242804774E-2</v>
      </c>
      <c r="BE21" s="282"/>
      <c r="BF21" s="282"/>
      <c r="BG21" s="282"/>
    </row>
    <row r="22" spans="1:59" ht="2.25" customHeight="1">
      <c r="A22" s="11"/>
      <c r="B22" s="11"/>
      <c r="C22" s="11"/>
      <c r="D22" s="11"/>
      <c r="E22" s="11"/>
      <c r="F22" s="11"/>
      <c r="G22" s="11"/>
      <c r="H22" s="11"/>
      <c r="I22" s="11"/>
      <c r="J22" s="11"/>
      <c r="K22" s="11"/>
      <c r="L22" s="11"/>
      <c r="M22" s="11"/>
      <c r="W22" s="794"/>
      <c r="X22" s="794"/>
      <c r="Y22" s="813">
        <v>11</v>
      </c>
      <c r="Z22" s="814">
        <f>Z21*(1+(Solarwärme!$D$34/100))</f>
        <v>3784.3940474823844</v>
      </c>
      <c r="AA22" s="807">
        <f t="shared" si="6"/>
        <v>3306.9218148350728</v>
      </c>
      <c r="AB22" s="807">
        <f t="shared" si="7"/>
        <v>3864.8344653061899</v>
      </c>
      <c r="AC22" s="794">
        <v>10</v>
      </c>
      <c r="AD22" s="820">
        <f>Solarwärme!$H$38</f>
        <v>5940</v>
      </c>
      <c r="AE22" s="821">
        <f>Solarwärme!$H$38</f>
        <v>5940</v>
      </c>
      <c r="AF22" s="807">
        <f>($AE$13/Solarwärme!$G$31)*(Solarwärme!$D$33*((1+(Solarwärme!$D$34/100))^(AC22-1)))</f>
        <v>582.87393839553886</v>
      </c>
      <c r="AG22" s="807">
        <f>($AE$13/Solarwärme!$G$31)*(Solarwärme!$D$33*((1+((Solarwärme!$D$34-2)/100))^($AC22-1)))</f>
        <v>490.64304717256385</v>
      </c>
      <c r="AH22" s="807">
        <f>($AE$13/Solarwärme!$G$31)*(Solarwärme!$D$33*((1+((Solarwärme!$D$34+2)/100))^($AC22-1)))</f>
        <v>690.20591849236848</v>
      </c>
      <c r="AI22" s="807">
        <f>Solarwärme!$D$38*50*((1+($AI$12/100))^(AC22-1))</f>
        <v>0</v>
      </c>
      <c r="AJ22" s="807">
        <f>Solarwärme!$G$71*(Solarwärme!$D$35)*((1+Solarwärme!$L$71)^(AC22-1))</f>
        <v>135.02924593318443</v>
      </c>
      <c r="AK22" s="807">
        <f t="shared" si="11"/>
        <v>447.84469246235443</v>
      </c>
      <c r="AL22" s="807">
        <f t="shared" si="12"/>
        <v>355.61380123937943</v>
      </c>
      <c r="AM22" s="807">
        <f t="shared" si="13"/>
        <v>555.176672559184</v>
      </c>
      <c r="AN22" s="794">
        <v>10</v>
      </c>
      <c r="AO22" s="822">
        <f t="shared" si="8"/>
        <v>-4312.6377673411234</v>
      </c>
      <c r="AP22" s="822">
        <f t="shared" si="9"/>
        <v>447.84469246235443</v>
      </c>
      <c r="AQ22" s="822"/>
      <c r="AR22" s="822"/>
      <c r="AS22" s="809">
        <f t="shared" si="10"/>
        <v>14.286690138652865</v>
      </c>
      <c r="AT22" s="794">
        <v>1981</v>
      </c>
      <c r="AU22" s="794">
        <v>3.75</v>
      </c>
      <c r="AV22" s="809">
        <f t="shared" si="0"/>
        <v>37.125</v>
      </c>
      <c r="AW22" s="794">
        <v>3.3</v>
      </c>
      <c r="AX22" s="809">
        <f t="shared" si="1"/>
        <v>36.629999999999995</v>
      </c>
      <c r="AY22" s="794">
        <v>10</v>
      </c>
      <c r="AZ22" s="794"/>
      <c r="BA22" s="810">
        <f t="shared" si="2"/>
        <v>1.6817333182045147E-2</v>
      </c>
      <c r="BB22" s="811">
        <f t="shared" si="3"/>
        <v>2.3087908142630953E-2</v>
      </c>
      <c r="BC22" s="811">
        <f t="shared" si="4"/>
        <v>2.1003429421407649E-2</v>
      </c>
      <c r="BD22" s="811">
        <f t="shared" si="5"/>
        <v>1.3563803857628676E-2</v>
      </c>
      <c r="BE22" s="282"/>
      <c r="BF22" s="282"/>
      <c r="BG22" s="282"/>
    </row>
    <row r="23" spans="1:59" ht="2.25" customHeight="1">
      <c r="A23" s="11"/>
      <c r="B23" s="11"/>
      <c r="C23" s="11"/>
      <c r="D23" s="11"/>
      <c r="E23" s="11"/>
      <c r="F23" s="11"/>
      <c r="G23" s="11"/>
      <c r="H23" s="11"/>
      <c r="I23" s="11"/>
      <c r="J23" s="11"/>
      <c r="K23" s="11"/>
      <c r="L23" s="11"/>
      <c r="M23" s="11"/>
      <c r="W23" s="794"/>
      <c r="X23" s="794"/>
      <c r="Y23" s="813">
        <v>12</v>
      </c>
      <c r="Z23" s="814">
        <f>Z22*(1+(Solarwärme!$D$34/100))</f>
        <v>3992.5357200939152</v>
      </c>
      <c r="AA23" s="807">
        <f t="shared" si="6"/>
        <v>3483.7165030736819</v>
      </c>
      <c r="AB23" s="807">
        <f t="shared" si="7"/>
        <v>4373.6536823264232</v>
      </c>
      <c r="AC23" s="794">
        <v>11</v>
      </c>
      <c r="AD23" s="820">
        <f>Solarwärme!$H$38</f>
        <v>5940</v>
      </c>
      <c r="AE23" s="821">
        <f>Solarwärme!$H$38</f>
        <v>5940</v>
      </c>
      <c r="AF23" s="807">
        <f>($AE$13/Solarwärme!$G$31)*(Solarwärme!$D$33*((1+(Solarwärme!$D$34/100))^(AC23-1)))</f>
        <v>614.93200500729347</v>
      </c>
      <c r="AG23" s="807">
        <f>($AE$13/Solarwärme!$G$31)*(Solarwärme!$D$33*((1+((Solarwärme!$D$34-2)/100))^($AC23-1)))</f>
        <v>507.81555382360358</v>
      </c>
      <c r="AH23" s="807">
        <f>($AE$13/Solarwärme!$G$31)*(Solarwärme!$D$33*((1+((Solarwärme!$D$34+2)/100))^($AC23-1)))</f>
        <v>741.9713623792959</v>
      </c>
      <c r="AI23" s="807">
        <f>Solarwärme!$D$38*50*((1+($AI$12/100))^(AC23-1))</f>
        <v>0</v>
      </c>
      <c r="AJ23" s="807">
        <f>Solarwärme!$G$71*(Solarwärme!$D$35)*((1+Solarwärme!$L$71)^(AC23-1))</f>
        <v>137.45977235998177</v>
      </c>
      <c r="AK23" s="807">
        <f t="shared" si="11"/>
        <v>477.47223264731167</v>
      </c>
      <c r="AL23" s="807">
        <f t="shared" si="12"/>
        <v>370.35578146362184</v>
      </c>
      <c r="AM23" s="807">
        <f t="shared" si="13"/>
        <v>604.5115900193141</v>
      </c>
      <c r="AN23" s="794">
        <v>11</v>
      </c>
      <c r="AO23" s="822">
        <f t="shared" si="8"/>
        <v>-3835.1655346938119</v>
      </c>
      <c r="AP23" s="822">
        <f t="shared" si="9"/>
        <v>477.47223264731167</v>
      </c>
      <c r="AQ23" s="822"/>
      <c r="AR23" s="822"/>
      <c r="AS23" s="809">
        <f t="shared" si="10"/>
        <v>15.073812900213806</v>
      </c>
      <c r="AT23" s="794">
        <v>1982</v>
      </c>
      <c r="AU23" s="794">
        <v>3.95</v>
      </c>
      <c r="AV23" s="809">
        <f t="shared" si="0"/>
        <v>39.105000000000004</v>
      </c>
      <c r="AW23" s="794">
        <v>3.8</v>
      </c>
      <c r="AX23" s="809">
        <f t="shared" si="1"/>
        <v>42.18</v>
      </c>
      <c r="AY23" s="794">
        <v>11.3</v>
      </c>
      <c r="AZ23" s="794"/>
      <c r="BA23" s="810">
        <f t="shared" si="2"/>
        <v>1.5696838358869591E-2</v>
      </c>
      <c r="BB23" s="811">
        <f t="shared" si="3"/>
        <v>2.2094824616472053E-2</v>
      </c>
      <c r="BC23" s="811">
        <f t="shared" si="4"/>
        <v>1.9906481237678797E-2</v>
      </c>
      <c r="BD23" s="811">
        <f t="shared" si="5"/>
        <v>1.2171577643815823E-2</v>
      </c>
      <c r="BE23" s="282"/>
      <c r="BF23" s="282"/>
      <c r="BG23" s="282"/>
    </row>
    <row r="24" spans="1:59" ht="2.25" customHeight="1">
      <c r="A24" s="11"/>
      <c r="B24" s="11"/>
      <c r="C24" s="11"/>
      <c r="D24" s="11"/>
      <c r="E24" s="11"/>
      <c r="F24" s="11"/>
      <c r="G24" s="11"/>
      <c r="H24" s="11"/>
      <c r="I24" s="11"/>
      <c r="J24" s="11"/>
      <c r="K24" s="11"/>
      <c r="L24" s="11"/>
      <c r="M24" s="11"/>
      <c r="W24" s="794"/>
      <c r="X24" s="794"/>
      <c r="Y24" s="813">
        <v>13</v>
      </c>
      <c r="Z24" s="814">
        <f>Z23*(1+(Solarwärme!$D$34/100))</f>
        <v>4212.1251846990799</v>
      </c>
      <c r="AA24" s="807">
        <f t="shared" si="6"/>
        <v>3670.1433509570229</v>
      </c>
      <c r="AB24" s="807">
        <f t="shared" si="7"/>
        <v>4915.6355160684798</v>
      </c>
      <c r="AC24" s="794">
        <v>12</v>
      </c>
      <c r="AD24" s="820">
        <f>Solarwärme!$H$38</f>
        <v>5940</v>
      </c>
      <c r="AE24" s="821">
        <f>Solarwärme!$H$38</f>
        <v>5940</v>
      </c>
      <c r="AF24" s="807">
        <f>($AE$13/Solarwärme!$G$31)*(Solarwärme!$D$33*((1+(Solarwärme!$D$34/100))^(AC24-1)))</f>
        <v>648.75326528269454</v>
      </c>
      <c r="AG24" s="807">
        <f>($AE$13/Solarwärme!$G$31)*(Solarwärme!$D$33*((1+((Solarwärme!$D$34-2)/100))^($AC24-1)))</f>
        <v>525.58909820742974</v>
      </c>
      <c r="AH24" s="807">
        <f>($AE$13/Solarwärme!$G$31)*(Solarwärme!$D$33*((1+((Solarwärme!$D$34+2)/100))^($AC24-1)))</f>
        <v>797.61921455774325</v>
      </c>
      <c r="AI24" s="807">
        <f>Solarwärme!$D$38*50*((1+($AI$12/100))^(AC24-1))</f>
        <v>0</v>
      </c>
      <c r="AJ24" s="807">
        <f>Solarwärme!$G$71*(Solarwärme!$D$35)*((1+Solarwärme!$L$71)^(AC24-1))</f>
        <v>139.93404826246143</v>
      </c>
      <c r="AK24" s="807">
        <f t="shared" si="11"/>
        <v>508.81921702023311</v>
      </c>
      <c r="AL24" s="807">
        <f t="shared" si="12"/>
        <v>385.65504994496831</v>
      </c>
      <c r="AM24" s="807">
        <f t="shared" si="13"/>
        <v>657.68516629528176</v>
      </c>
      <c r="AN24" s="794">
        <v>12</v>
      </c>
      <c r="AO24" s="822">
        <f t="shared" si="8"/>
        <v>-3326.3463176735786</v>
      </c>
      <c r="AP24" s="822">
        <f t="shared" si="9"/>
        <v>508.81921702023311</v>
      </c>
      <c r="AQ24" s="822"/>
      <c r="AR24" s="822"/>
      <c r="AS24" s="809">
        <f t="shared" si="10"/>
        <v>15.904302056352808</v>
      </c>
      <c r="AT24" s="794">
        <v>1983</v>
      </c>
      <c r="AU24" s="794">
        <v>3.7</v>
      </c>
      <c r="AV24" s="809">
        <f t="shared" si="0"/>
        <v>36.630000000000003</v>
      </c>
      <c r="AW24" s="794">
        <v>3.75</v>
      </c>
      <c r="AX24" s="809">
        <f t="shared" si="1"/>
        <v>41.625</v>
      </c>
      <c r="AY24" s="794">
        <v>11.7</v>
      </c>
      <c r="AZ24" s="794"/>
      <c r="BA24" s="810">
        <f t="shared" si="2"/>
        <v>1.8352835807507129E-2</v>
      </c>
      <c r="BB24" s="811">
        <f t="shared" si="3"/>
        <v>2.5174092297408412E-2</v>
      </c>
      <c r="BC24" s="811">
        <f t="shared" si="4"/>
        <v>2.3010753505080084E-2</v>
      </c>
      <c r="BD24" s="811">
        <f t="shared" si="5"/>
        <v>1.5080338974968299E-2</v>
      </c>
      <c r="BE24" s="282"/>
      <c r="BF24" s="282"/>
      <c r="BG24" s="282"/>
    </row>
    <row r="25" spans="1:59" ht="12" customHeight="1">
      <c r="A25" s="11"/>
      <c r="B25" s="11"/>
      <c r="C25" s="11"/>
      <c r="D25" s="11"/>
      <c r="E25" s="11"/>
      <c r="F25" s="11"/>
      <c r="G25" s="11"/>
      <c r="H25" s="11"/>
      <c r="I25" s="11"/>
      <c r="J25" s="11"/>
      <c r="K25" s="11"/>
      <c r="L25" s="11"/>
      <c r="M25" s="11"/>
      <c r="W25" s="819" t="s">
        <v>244</v>
      </c>
      <c r="X25" s="825">
        <f>VLOOKUP(D31,S15:X21,6,0)*D37*Y45</f>
        <v>42000</v>
      </c>
      <c r="Y25" s="813">
        <v>14</v>
      </c>
      <c r="Z25" s="814">
        <f>Z24*(1+(Solarwärme!$D$34/100))</f>
        <v>4443.792069857529</v>
      </c>
      <c r="AA25" s="807">
        <f t="shared" si="6"/>
        <v>3866.7304793978051</v>
      </c>
      <c r="AB25" s="807">
        <f t="shared" si="7"/>
        <v>5492.6971065282032</v>
      </c>
      <c r="AC25" s="794">
        <v>13</v>
      </c>
      <c r="AD25" s="820">
        <f>Solarwärme!$H$38</f>
        <v>5940</v>
      </c>
      <c r="AE25" s="821">
        <f>Solarwärme!$H$38</f>
        <v>5940</v>
      </c>
      <c r="AF25" s="807">
        <f>($AE$13/Solarwärme!$G$31)*(Solarwärme!$D$33*((1+(Solarwärme!$D$34/100))^(AC25-1)))</f>
        <v>684.43469487324262</v>
      </c>
      <c r="AG25" s="807">
        <f>($AE$13/Solarwärme!$G$31)*(Solarwärme!$D$33*((1+((Solarwärme!$D$34-2)/100))^($AC25-1)))</f>
        <v>543.98471664468968</v>
      </c>
      <c r="AH25" s="807">
        <f>($AE$13/Solarwärme!$G$31)*(Solarwärme!$D$33*((1+((Solarwärme!$D$34+2)/100))^($AC25-1)))</f>
        <v>857.44065564957396</v>
      </c>
      <c r="AI25" s="807">
        <f>Solarwärme!$D$38*50*((1+($AI$12/100))^(AC25-1))</f>
        <v>0</v>
      </c>
      <c r="AJ25" s="807">
        <f>Solarwärme!$G$71*(Solarwärme!$D$35)*((1+Solarwärme!$L$71)^(AC25-1))</f>
        <v>142.45286113118573</v>
      </c>
      <c r="AK25" s="807">
        <f t="shared" si="11"/>
        <v>541.98183374205689</v>
      </c>
      <c r="AL25" s="807">
        <f t="shared" si="12"/>
        <v>401.53185551350396</v>
      </c>
      <c r="AM25" s="807">
        <f t="shared" si="13"/>
        <v>714.98779451838823</v>
      </c>
      <c r="AN25" s="794">
        <v>13</v>
      </c>
      <c r="AO25" s="822">
        <f t="shared" si="8"/>
        <v>-2784.3644839315216</v>
      </c>
      <c r="AP25" s="822">
        <f t="shared" si="9"/>
        <v>541.98183374205689</v>
      </c>
      <c r="AQ25" s="822"/>
      <c r="AR25" s="822"/>
      <c r="AS25" s="809">
        <f t="shared" si="10"/>
        <v>16.780546871198087</v>
      </c>
      <c r="AT25" s="794">
        <v>1984</v>
      </c>
      <c r="AU25" s="794">
        <v>3.8</v>
      </c>
      <c r="AV25" s="809">
        <f t="shared" si="0"/>
        <v>37.619999999999997</v>
      </c>
      <c r="AW25" s="794">
        <v>3.75</v>
      </c>
      <c r="AX25" s="809">
        <f t="shared" si="1"/>
        <v>41.625</v>
      </c>
      <c r="AY25" s="794">
        <v>12</v>
      </c>
      <c r="AZ25" s="794"/>
      <c r="BA25" s="810">
        <f t="shared" si="2"/>
        <v>1.8064961274982583E-2</v>
      </c>
      <c r="BB25" s="811">
        <f t="shared" si="3"/>
        <v>2.5107977921679847E-2</v>
      </c>
      <c r="BC25" s="811">
        <f t="shared" si="4"/>
        <v>2.2862304636754205E-2</v>
      </c>
      <c r="BD25" s="811">
        <f t="shared" si="5"/>
        <v>1.4623636617411728E-2</v>
      </c>
      <c r="BE25" s="282"/>
      <c r="BF25" s="282"/>
      <c r="BG25" s="282"/>
    </row>
    <row r="26" spans="1:59" ht="22.5" customHeight="1">
      <c r="A26" s="717" t="s">
        <v>243</v>
      </c>
      <c r="B26" s="717"/>
      <c r="C26" s="717"/>
      <c r="D26" s="717"/>
      <c r="E26" s="717"/>
      <c r="G26" s="716" t="s">
        <v>200</v>
      </c>
      <c r="H26" s="716"/>
      <c r="J26" s="718" t="s">
        <v>242</v>
      </c>
      <c r="K26" s="718"/>
      <c r="L26" s="530" t="s">
        <v>30</v>
      </c>
      <c r="S26" s="794" t="s">
        <v>241</v>
      </c>
      <c r="T26" s="794">
        <v>0</v>
      </c>
      <c r="U26" s="794">
        <v>0</v>
      </c>
      <c r="V26" s="794">
        <v>0</v>
      </c>
      <c r="W26" s="794"/>
      <c r="X26" s="794"/>
      <c r="Y26" s="813">
        <v>15</v>
      </c>
      <c r="Z26" s="814">
        <f>Z25*(1+(Solarwärme!$D$34/100))</f>
        <v>4688.2006336996928</v>
      </c>
      <c r="AA26" s="807">
        <f t="shared" si="6"/>
        <v>4074.035026297317</v>
      </c>
      <c r="AB26" s="807">
        <f t="shared" si="7"/>
        <v>6106.862713930579</v>
      </c>
      <c r="AC26" s="794">
        <v>14</v>
      </c>
      <c r="AD26" s="820">
        <f>Solarwärme!$H$38</f>
        <v>5940</v>
      </c>
      <c r="AE26" s="821">
        <f>Solarwärme!$H$38</f>
        <v>5940</v>
      </c>
      <c r="AF26" s="807">
        <f>($AE$13/Solarwärme!$G$31)*(Solarwärme!$D$33*((1+(Solarwärme!$D$34/100))^(AC26-1)))</f>
        <v>722.07860309127102</v>
      </c>
      <c r="AG26" s="807">
        <f>($AE$13/Solarwärme!$G$31)*(Solarwärme!$D$33*((1+((Solarwärme!$D$34-2)/100))^($AC26-1)))</f>
        <v>563.02418172725368</v>
      </c>
      <c r="AH26" s="807">
        <f>($AE$13/Solarwärme!$G$31)*(Solarwärme!$D$33*((1+((Solarwärme!$D$34+2)/100))^($AC26-1)))</f>
        <v>921.74870482329209</v>
      </c>
      <c r="AI26" s="807">
        <f>Solarwärme!$D$38*50*((1+($AI$12/100))^(AC26-1))</f>
        <v>0</v>
      </c>
      <c r="AJ26" s="807">
        <f>Solarwärme!$G$71*(Solarwärme!$D$35)*((1+Solarwärme!$L$71)^(AC26-1))</f>
        <v>145.01701263154709</v>
      </c>
      <c r="AK26" s="807">
        <f t="shared" si="11"/>
        <v>577.0615904597239</v>
      </c>
      <c r="AL26" s="807">
        <f t="shared" si="12"/>
        <v>418.00716909570656</v>
      </c>
      <c r="AM26" s="807">
        <f t="shared" si="13"/>
        <v>776.73169219174497</v>
      </c>
      <c r="AN26" s="794">
        <v>14</v>
      </c>
      <c r="AO26" s="822">
        <f t="shared" si="8"/>
        <v>-2207.3028934717977</v>
      </c>
      <c r="AP26" s="822">
        <f t="shared" si="9"/>
        <v>577.0615904597239</v>
      </c>
      <c r="AQ26" s="822"/>
      <c r="AR26" s="822"/>
      <c r="AS26" s="809">
        <f t="shared" si="10"/>
        <v>17.705068244978349</v>
      </c>
      <c r="AT26" s="794">
        <v>1985</v>
      </c>
      <c r="AU26" s="794">
        <v>4.05</v>
      </c>
      <c r="AV26" s="809">
        <f t="shared" si="0"/>
        <v>40.094999999999999</v>
      </c>
      <c r="AW26" s="794">
        <v>3.85</v>
      </c>
      <c r="AX26" s="809">
        <f t="shared" si="1"/>
        <v>42.734999999999999</v>
      </c>
      <c r="AY26" s="794">
        <v>12.2</v>
      </c>
      <c r="AZ26" s="794"/>
      <c r="BA26" s="810">
        <f t="shared" si="2"/>
        <v>1.6457966116086409E-2</v>
      </c>
      <c r="BB26" s="811">
        <f t="shared" si="3"/>
        <v>2.3631449280793637E-2</v>
      </c>
      <c r="BC26" s="811">
        <f t="shared" si="4"/>
        <v>2.1246243131444631E-2</v>
      </c>
      <c r="BD26" s="811">
        <f t="shared" si="5"/>
        <v>1.2628898936296373E-2</v>
      </c>
      <c r="BE26" s="282"/>
      <c r="BF26" s="282"/>
      <c r="BG26" s="282"/>
    </row>
    <row r="27" spans="1:59" ht="23.25" customHeight="1">
      <c r="A27" s="529" t="s">
        <v>240</v>
      </c>
      <c r="M27" s="528"/>
      <c r="N27" s="826"/>
      <c r="S27" s="280" t="str">
        <f>IF($Q$26=1,"bei 2 Euro L20 AR","bei 2 Euro L22 AR / L42")</f>
        <v>bei 2 Euro L22 AR / L42</v>
      </c>
      <c r="T27" s="827">
        <f>ROUNDUP(V27,0)</f>
        <v>14</v>
      </c>
      <c r="U27" s="280">
        <f>J31</f>
        <v>5</v>
      </c>
      <c r="V27" s="809">
        <f>VLOOKUP(J30,R33:S39,2)*U27</f>
        <v>13.049999999999999</v>
      </c>
      <c r="W27" s="828"/>
      <c r="X27" s="794"/>
      <c r="Y27" s="813">
        <v>16</v>
      </c>
      <c r="Z27" s="814">
        <f>Z26*(1+(Solarwärme!$D$34/100))</f>
        <v>4946.0516685531757</v>
      </c>
      <c r="AA27" s="807">
        <f t="shared" si="6"/>
        <v>4292.6447419458891</v>
      </c>
      <c r="AB27" s="807">
        <f t="shared" si="7"/>
        <v>6760.2696405378656</v>
      </c>
      <c r="AC27" s="794">
        <v>15</v>
      </c>
      <c r="AD27" s="820">
        <f>Solarwärme!$H$38</f>
        <v>5940</v>
      </c>
      <c r="AE27" s="821">
        <f>Solarwärme!$H$38</f>
        <v>5940</v>
      </c>
      <c r="AF27" s="807">
        <f>($AE$13/Solarwärme!$G$31)*(Solarwärme!$D$33*((1+(Solarwärme!$D$34/100))^(AC27-1)))</f>
        <v>761.79292626129097</v>
      </c>
      <c r="AG27" s="807">
        <f>($AE$13/Solarwärme!$G$31)*(Solarwärme!$D$33*((1+((Solarwärme!$D$34-2)/100))^($AC27-1)))</f>
        <v>582.73002808770764</v>
      </c>
      <c r="AH27" s="807">
        <f>($AE$13/Solarwärme!$G$31)*(Solarwärme!$D$33*((1+((Solarwärme!$D$34+2)/100))^($AC27-1)))</f>
        <v>990.87985768503881</v>
      </c>
      <c r="AI27" s="807">
        <f>Solarwärme!$D$38*50*((1+($AI$12/100))^(AC27-1))</f>
        <v>0</v>
      </c>
      <c r="AJ27" s="807">
        <f>Solarwärme!$G$71*(Solarwärme!$D$35)*((1+Solarwärme!$L$71)^(AC27-1))</f>
        <v>147.62731885891495</v>
      </c>
      <c r="AK27" s="807">
        <f t="shared" si="11"/>
        <v>614.16560740237605</v>
      </c>
      <c r="AL27" s="807">
        <f t="shared" si="12"/>
        <v>435.10270922879272</v>
      </c>
      <c r="AM27" s="807">
        <f t="shared" si="13"/>
        <v>843.2525388261239</v>
      </c>
      <c r="AN27" s="794">
        <v>15</v>
      </c>
      <c r="AO27" s="822">
        <f t="shared" si="8"/>
        <v>-1593.1372860694216</v>
      </c>
      <c r="AP27" s="822">
        <f t="shared" si="9"/>
        <v>614.16560740237605</v>
      </c>
      <c r="AQ27" s="822"/>
      <c r="AR27" s="822"/>
      <c r="AS27" s="809">
        <f t="shared" si="10"/>
        <v>18.680525966491331</v>
      </c>
      <c r="AT27" s="794">
        <v>1986</v>
      </c>
      <c r="AU27" s="794">
        <v>2.2999999999999998</v>
      </c>
      <c r="AV27" s="809">
        <f t="shared" si="0"/>
        <v>22.77</v>
      </c>
      <c r="AW27" s="794">
        <v>3.6</v>
      </c>
      <c r="AX27" s="809">
        <f t="shared" si="1"/>
        <v>39.96</v>
      </c>
      <c r="AY27" s="794">
        <v>12.3</v>
      </c>
      <c r="AZ27" s="794"/>
      <c r="BA27" s="810">
        <f t="shared" si="2"/>
        <v>3.7811762171130248E-2</v>
      </c>
      <c r="BB27" s="811">
        <f t="shared" si="3"/>
        <v>4.7091912620220056E-2</v>
      </c>
      <c r="BC27" s="811">
        <f t="shared" si="4"/>
        <v>4.5501784115273614E-2</v>
      </c>
      <c r="BD27" s="811">
        <f t="shared" si="5"/>
        <v>3.7327871001348267E-2</v>
      </c>
      <c r="BE27" s="282"/>
      <c r="BF27" s="282"/>
      <c r="BG27" s="282"/>
    </row>
    <row r="28" spans="1:59" ht="18" customHeight="1">
      <c r="A28" s="527" t="s">
        <v>239</v>
      </c>
      <c r="B28" s="719" t="s">
        <v>238</v>
      </c>
      <c r="C28" s="719"/>
      <c r="D28" s="720" t="s">
        <v>237</v>
      </c>
      <c r="E28" s="721"/>
      <c r="F28" s="719" t="s">
        <v>236</v>
      </c>
      <c r="G28" s="719"/>
      <c r="H28" s="719"/>
      <c r="I28" s="722"/>
      <c r="J28" s="722"/>
      <c r="K28" s="722"/>
      <c r="L28" s="722"/>
      <c r="M28" s="481"/>
      <c r="O28" s="829"/>
      <c r="P28" s="830"/>
      <c r="T28" s="827"/>
      <c r="U28" s="831"/>
      <c r="V28" s="809"/>
      <c r="W28" s="794"/>
      <c r="X28" s="794"/>
      <c r="Y28" s="813">
        <v>17</v>
      </c>
      <c r="Z28" s="814">
        <f>Z27*(1+(Solarwärme!$D$34/100))</f>
        <v>5218.0845103235997</v>
      </c>
      <c r="AA28" s="807">
        <f t="shared" si="6"/>
        <v>4523.1796721607725</v>
      </c>
      <c r="AB28" s="807">
        <f t="shared" si="7"/>
        <v>7455.1744787006928</v>
      </c>
      <c r="AC28" s="794">
        <v>16</v>
      </c>
      <c r="AD28" s="820">
        <f>Solarwärme!$H$38</f>
        <v>5940</v>
      </c>
      <c r="AE28" s="821">
        <f>Solarwärme!$H$38</f>
        <v>5940</v>
      </c>
      <c r="AF28" s="807">
        <f>($AE$13/Solarwärme!$G$31)*(Solarwärme!$D$33*((1+(Solarwärme!$D$34/100))^(AC28-1)))</f>
        <v>803.6915372056618</v>
      </c>
      <c r="AG28" s="807">
        <f>($AE$13/Solarwärme!$G$31)*(Solarwärme!$D$33*((1+((Solarwärme!$D$34-2)/100))^($AC28-1)))</f>
        <v>603.12557907077723</v>
      </c>
      <c r="AH28" s="807">
        <f>($AE$13/Solarwärme!$G$31)*(Solarwärme!$D$33*((1+((Solarwärme!$D$34+2)/100))^($AC28-1)))</f>
        <v>1065.1958470114168</v>
      </c>
      <c r="AI28" s="807">
        <f>Solarwärme!$D$38*50*((1+($AI$12/100))^(AC28-1))</f>
        <v>0</v>
      </c>
      <c r="AJ28" s="807">
        <f>Solarwärme!$G$71*(Solarwärme!$D$35)*((1+Solarwärme!$L$71)^(AC28-1))</f>
        <v>150.28461059837542</v>
      </c>
      <c r="AK28" s="807">
        <f t="shared" si="11"/>
        <v>653.40692660728632</v>
      </c>
      <c r="AL28" s="807">
        <f t="shared" si="12"/>
        <v>452.84096847240181</v>
      </c>
      <c r="AM28" s="807">
        <f t="shared" si="13"/>
        <v>914.91123641304148</v>
      </c>
      <c r="AN28" s="794">
        <v>16</v>
      </c>
      <c r="AO28" s="822">
        <f t="shared" si="8"/>
        <v>-939.73035946213531</v>
      </c>
      <c r="AP28" s="822">
        <f t="shared" si="9"/>
        <v>653.40692660728632</v>
      </c>
      <c r="AQ28" s="822"/>
      <c r="AR28" s="822"/>
      <c r="AS28" s="809">
        <f t="shared" si="10"/>
        <v>19.70972636514588</v>
      </c>
      <c r="AT28" s="794">
        <v>1987</v>
      </c>
      <c r="AU28" s="794">
        <v>1.9</v>
      </c>
      <c r="AV28" s="809">
        <f t="shared" si="0"/>
        <v>18.809999999999999</v>
      </c>
      <c r="AW28" s="794">
        <v>2.5</v>
      </c>
      <c r="AX28" s="809">
        <f t="shared" si="1"/>
        <v>27.75</v>
      </c>
      <c r="AY28" s="794">
        <v>12.2</v>
      </c>
      <c r="AZ28" s="794"/>
      <c r="BA28" s="810">
        <f t="shared" si="2"/>
        <v>4.6619189352027135E-2</v>
      </c>
      <c r="BB28" s="811">
        <f t="shared" si="3"/>
        <v>5.7068586571625612E-2</v>
      </c>
      <c r="BC28" s="811">
        <f t="shared" si="4"/>
        <v>5.5813564208588851E-2</v>
      </c>
      <c r="BD28" s="811">
        <f t="shared" si="5"/>
        <v>4.7648569143539099E-2</v>
      </c>
      <c r="BE28" s="282"/>
      <c r="BF28" s="282"/>
      <c r="BG28" s="282"/>
    </row>
    <row r="29" spans="1:59" ht="9" customHeight="1">
      <c r="A29" s="11"/>
      <c r="B29" s="11"/>
      <c r="C29" s="11"/>
      <c r="D29" s="11"/>
      <c r="E29" s="11"/>
      <c r="F29" s="11"/>
      <c r="G29" s="11"/>
      <c r="H29" s="11"/>
      <c r="I29" s="11"/>
      <c r="J29" s="11"/>
      <c r="K29" s="11"/>
      <c r="L29" s="11"/>
      <c r="M29" s="481"/>
      <c r="O29" s="829"/>
      <c r="P29" s="830"/>
      <c r="T29" s="827"/>
      <c r="U29" s="831"/>
      <c r="V29" s="809"/>
      <c r="W29" s="794"/>
      <c r="X29" s="794"/>
      <c r="Y29" s="813">
        <v>18</v>
      </c>
      <c r="Z29" s="814">
        <f>Z28*(1+(Solarwärme!$D$34/100))</f>
        <v>5505.079158391397</v>
      </c>
      <c r="AA29" s="807">
        <f t="shared" si="6"/>
        <v>4766.2939339868162</v>
      </c>
      <c r="AB29" s="807">
        <f t="shared" si="7"/>
        <v>8193.9597031052726</v>
      </c>
      <c r="AC29" s="794">
        <v>17</v>
      </c>
      <c r="AD29" s="820">
        <f>Solarwärme!$H$38</f>
        <v>5940</v>
      </c>
      <c r="AE29" s="821">
        <f>Solarwärme!$H$38</f>
        <v>5940</v>
      </c>
      <c r="AF29" s="807">
        <f>($AE$13/Solarwärme!$G$31)*(Solarwärme!$D$33*((1+(Solarwärme!$D$34/100))^(AC29-1)))</f>
        <v>847.89457175197322</v>
      </c>
      <c r="AG29" s="807">
        <f>($AE$13/Solarwärme!$G$31)*(Solarwärme!$D$33*((1+((Solarwärme!$D$34-2)/100))^($AC29-1)))</f>
        <v>624.23497433825446</v>
      </c>
      <c r="AH29" s="807">
        <f>($AE$13/Solarwärme!$G$31)*(Solarwärme!$D$33*((1+((Solarwärme!$D$34+2)/100))^($AC29-1)))</f>
        <v>1145.085535537273</v>
      </c>
      <c r="AI29" s="807">
        <f>Solarwärme!$D$38*50*((1+($AI$12/100))^(AC29-1))</f>
        <v>0</v>
      </c>
      <c r="AJ29" s="807">
        <f>Solarwärme!$G$71*(Solarwärme!$D$35)*((1+Solarwärme!$L$71)^(AC29-1))</f>
        <v>152.98973358914617</v>
      </c>
      <c r="AK29" s="807">
        <f t="shared" si="11"/>
        <v>694.90483816282699</v>
      </c>
      <c r="AL29" s="807">
        <f t="shared" si="12"/>
        <v>471.24524074910829</v>
      </c>
      <c r="AM29" s="807">
        <f t="shared" si="13"/>
        <v>992.09580194812679</v>
      </c>
      <c r="AN29" s="794">
        <v>17</v>
      </c>
      <c r="AO29" s="822">
        <f t="shared" si="8"/>
        <v>-244.82552129930832</v>
      </c>
      <c r="AP29" s="822">
        <f t="shared" si="9"/>
        <v>694.90483816282699</v>
      </c>
      <c r="AQ29" s="822"/>
      <c r="AR29" s="822"/>
      <c r="AS29" s="809">
        <f t="shared" si="10"/>
        <v>20.795630384591981</v>
      </c>
      <c r="AT29" s="794">
        <v>1988</v>
      </c>
      <c r="AU29" s="794">
        <v>1.75</v>
      </c>
      <c r="AV29" s="809">
        <f t="shared" si="0"/>
        <v>17.324999999999999</v>
      </c>
      <c r="AW29" s="794">
        <v>2.4500000000000002</v>
      </c>
      <c r="AX29" s="809">
        <f t="shared" si="1"/>
        <v>27.195</v>
      </c>
      <c r="AY29" s="794">
        <v>12.3</v>
      </c>
      <c r="AZ29" s="794"/>
      <c r="BA29" s="810">
        <f t="shared" si="2"/>
        <v>5.1776521031300815E-2</v>
      </c>
      <c r="BB29" s="811">
        <f t="shared" si="3"/>
        <v>6.3152619315467007E-2</v>
      </c>
      <c r="BC29" s="811">
        <f t="shared" si="4"/>
        <v>6.2100514700947018E-2</v>
      </c>
      <c r="BD29" s="811">
        <f t="shared" si="5"/>
        <v>5.379940828724572E-2</v>
      </c>
      <c r="BE29" s="282"/>
      <c r="BF29" s="282"/>
      <c r="BG29" s="282"/>
    </row>
    <row r="30" spans="1:59" ht="22.5" customHeight="1">
      <c r="A30" s="724" t="s">
        <v>235</v>
      </c>
      <c r="B30" s="724"/>
      <c r="C30" s="724"/>
      <c r="D30" s="724"/>
      <c r="E30" s="724"/>
      <c r="F30" s="474"/>
      <c r="G30" s="526"/>
      <c r="H30" s="525"/>
      <c r="I30" s="479"/>
      <c r="J30" s="725" t="s">
        <v>220</v>
      </c>
      <c r="K30" s="725"/>
      <c r="L30" s="725"/>
      <c r="M30" s="308"/>
      <c r="N30" s="832" t="s">
        <v>234</v>
      </c>
      <c r="O30" s="833">
        <f>IF(H$42=N30,1,0)</f>
        <v>0</v>
      </c>
      <c r="P30" s="834" t="s">
        <v>233</v>
      </c>
      <c r="T30" s="827"/>
      <c r="U30" s="831"/>
      <c r="V30" s="809"/>
      <c r="W30" s="794"/>
      <c r="X30" s="794"/>
      <c r="Y30" s="813">
        <v>19</v>
      </c>
      <c r="Z30" s="814">
        <f>Z29*(1+(Solarwärme!$D$34/100))</f>
        <v>5807.8585121029237</v>
      </c>
      <c r="AA30" s="807">
        <f t="shared" si="6"/>
        <v>5022.6775890507215</v>
      </c>
      <c r="AB30" s="807">
        <f t="shared" si="7"/>
        <v>8979.1406261574739</v>
      </c>
      <c r="AC30" s="794">
        <v>18</v>
      </c>
      <c r="AD30" s="820">
        <f>Solarwärme!$H$38</f>
        <v>5940</v>
      </c>
      <c r="AE30" s="821">
        <f>Solarwärme!$H$38</f>
        <v>5940</v>
      </c>
      <c r="AF30" s="807">
        <f>($AE$13/Solarwärme!$G$31)*(Solarwärme!$D$33*((1+(Solarwärme!$D$34/100))^(AC30-1)))</f>
        <v>894.52877319833181</v>
      </c>
      <c r="AG30" s="807">
        <f>($AE$13/Solarwärme!$G$31)*(Solarwärme!$D$33*((1+((Solarwärme!$D$34-2)/100))^($AC30-1)))</f>
        <v>646.08319844009327</v>
      </c>
      <c r="AH30" s="807">
        <f>($AE$13/Solarwärme!$G$31)*(Solarwärme!$D$33*((1+((Solarwärme!$D$34+2)/100))^($AC30-1)))</f>
        <v>1230.9669507025683</v>
      </c>
      <c r="AI30" s="807">
        <f>Solarwärme!$D$38*50*((1+($AI$12/100))^(AC30-1))</f>
        <v>0</v>
      </c>
      <c r="AJ30" s="807">
        <f>Solarwärme!$G$71*(Solarwärme!$D$35)*((1+Solarwärme!$L$71)^(AC30-1))</f>
        <v>155.74354879375082</v>
      </c>
      <c r="AK30" s="807">
        <f t="shared" si="11"/>
        <v>738.78522440458096</v>
      </c>
      <c r="AL30" s="807">
        <f t="shared" si="12"/>
        <v>490.33964964634242</v>
      </c>
      <c r="AM30" s="807">
        <f t="shared" si="13"/>
        <v>1075.2234019088176</v>
      </c>
      <c r="AN30" s="794">
        <v>18</v>
      </c>
      <c r="AO30" s="822">
        <f t="shared" si="8"/>
        <v>493.95970310527264</v>
      </c>
      <c r="AP30" s="822">
        <f t="shared" si="9"/>
        <v>738.78522440458096</v>
      </c>
      <c r="AQ30" s="822"/>
      <c r="AR30" s="822"/>
      <c r="AS30" s="809">
        <f t="shared" si="10"/>
        <v>21.941362101166057</v>
      </c>
      <c r="AT30" s="794">
        <v>1989</v>
      </c>
      <c r="AU30" s="794">
        <v>2.2999999999999998</v>
      </c>
      <c r="AV30" s="809">
        <f t="shared" si="0"/>
        <v>22.77</v>
      </c>
      <c r="AW30" s="794">
        <v>2.5</v>
      </c>
      <c r="AX30" s="809">
        <f t="shared" si="1"/>
        <v>27.75</v>
      </c>
      <c r="AY30" s="794">
        <v>12.3</v>
      </c>
      <c r="AZ30" s="794"/>
      <c r="BA30" s="810">
        <f t="shared" si="2"/>
        <v>4.244420433773044E-2</v>
      </c>
      <c r="BB30" s="811">
        <f t="shared" si="3"/>
        <v>5.3395646087757598E-2</v>
      </c>
      <c r="BC30" s="811">
        <f t="shared" si="4"/>
        <v>5.186492919204011E-2</v>
      </c>
      <c r="BD30" s="811">
        <f t="shared" si="5"/>
        <v>4.2772975976522964E-2</v>
      </c>
      <c r="BE30" s="282"/>
      <c r="BF30" s="282"/>
      <c r="BG30" s="282"/>
    </row>
    <row r="31" spans="1:59" ht="18" customHeight="1">
      <c r="A31" s="506" t="s">
        <v>232</v>
      </c>
      <c r="B31" s="495"/>
      <c r="C31" s="494"/>
      <c r="D31" s="723" t="s">
        <v>231</v>
      </c>
      <c r="E31" s="723"/>
      <c r="F31" s="524"/>
      <c r="G31" s="523">
        <f>VLOOKUP(D31,Solarwärme!S15:T20,2,FALSE)</f>
        <v>9.9</v>
      </c>
      <c r="H31" s="517" t="str">
        <f>VLOOKUP(D31,Solarwärme!S15:U20,3,FALSE)</f>
        <v>kWh / l</v>
      </c>
      <c r="I31" s="522"/>
      <c r="J31" s="521">
        <v>5</v>
      </c>
      <c r="K31" s="520" t="s">
        <v>230</v>
      </c>
      <c r="L31" s="520"/>
      <c r="M31" s="519"/>
      <c r="N31" s="832" t="s">
        <v>197</v>
      </c>
      <c r="O31" s="833">
        <f>IF(H$42=N31,1,0)</f>
        <v>1</v>
      </c>
      <c r="P31" s="833" t="s">
        <v>229</v>
      </c>
      <c r="R31" s="280" t="s">
        <v>228</v>
      </c>
      <c r="T31" s="827"/>
      <c r="U31" s="831"/>
      <c r="V31" s="809"/>
      <c r="W31" s="794"/>
      <c r="X31" s="794"/>
      <c r="Y31" s="813">
        <v>20</v>
      </c>
      <c r="Z31" s="814">
        <f>Z30*(1+(Solarwärme!$D$34/100))</f>
        <v>6127.2907302685844</v>
      </c>
      <c r="AA31" s="807">
        <f t="shared" si="6"/>
        <v>5293.0586199396466</v>
      </c>
      <c r="AB31" s="807">
        <f t="shared" si="7"/>
        <v>9813.3727364864117</v>
      </c>
      <c r="AC31" s="794">
        <v>19</v>
      </c>
      <c r="AD31" s="820">
        <f>Solarwärme!$H$38</f>
        <v>5940</v>
      </c>
      <c r="AE31" s="821">
        <f>Solarwärme!$H$38</f>
        <v>5940</v>
      </c>
      <c r="AF31" s="807">
        <f>($AE$13/Solarwärme!$G$31)*(Solarwärme!$D$33*((1+(Solarwärme!$D$34/100))^(AC31-1)))</f>
        <v>943.72785572424004</v>
      </c>
      <c r="AG31" s="807">
        <f>($AE$13/Solarwärme!$G$31)*(Solarwärme!$D$33*((1+((Solarwärme!$D$34-2)/100))^($AC31-1)))</f>
        <v>668.69611038549647</v>
      </c>
      <c r="AH31" s="807">
        <f>($AE$13/Solarwärme!$G$31)*(Solarwärme!$D$33*((1+((Solarwärme!$D$34+2)/100))^($AC31-1)))</f>
        <v>1323.2894720052609</v>
      </c>
      <c r="AI31" s="807">
        <f>Solarwärme!$D$38*50*((1+($AI$12/100))^(AC31-1))</f>
        <v>0</v>
      </c>
      <c r="AJ31" s="807">
        <f>Solarwärme!$G$71*(Solarwärme!$D$35)*((1+Solarwärme!$L$71)^(AC31-1))</f>
        <v>158.54693267203831</v>
      </c>
      <c r="AK31" s="807">
        <f t="shared" si="11"/>
        <v>785.18092305220171</v>
      </c>
      <c r="AL31" s="807">
        <f t="shared" si="12"/>
        <v>510.14917771345813</v>
      </c>
      <c r="AM31" s="807">
        <f t="shared" si="13"/>
        <v>1164.7425393332226</v>
      </c>
      <c r="AN31" s="794">
        <v>19</v>
      </c>
      <c r="AO31" s="822">
        <f t="shared" si="8"/>
        <v>1279.1406261574743</v>
      </c>
      <c r="AP31" s="822">
        <f t="shared" si="9"/>
        <v>785.18092305220171</v>
      </c>
      <c r="AQ31" s="822"/>
      <c r="AR31" s="822"/>
      <c r="AS31" s="809">
        <f t="shared" si="10"/>
        <v>23.150217711658559</v>
      </c>
      <c r="AT31" s="794">
        <v>1990</v>
      </c>
      <c r="AU31" s="794">
        <v>2.5</v>
      </c>
      <c r="AV31" s="809">
        <f t="shared" si="0"/>
        <v>24.75</v>
      </c>
      <c r="AW31" s="794">
        <v>3.1</v>
      </c>
      <c r="AX31" s="809">
        <f t="shared" si="1"/>
        <v>34.409999999999997</v>
      </c>
      <c r="AY31" s="794">
        <v>15.2</v>
      </c>
      <c r="AZ31" s="794"/>
      <c r="BA31" s="810">
        <f t="shared" si="2"/>
        <v>4.0629610697416441E-2</v>
      </c>
      <c r="BB31" s="811">
        <f t="shared" si="3"/>
        <v>5.1895018406318938E-2</v>
      </c>
      <c r="BC31" s="811">
        <f t="shared" si="4"/>
        <v>5.0222453681338042E-2</v>
      </c>
      <c r="BD31" s="811">
        <f t="shared" si="5"/>
        <v>4.0611563156235597E-2</v>
      </c>
      <c r="BE31" s="282"/>
      <c r="BF31" s="282"/>
      <c r="BG31" s="282"/>
    </row>
    <row r="32" spans="1:59" ht="18" customHeight="1">
      <c r="A32" s="491" t="s">
        <v>227</v>
      </c>
      <c r="B32" s="490"/>
      <c r="C32" s="484"/>
      <c r="D32" s="505">
        <v>3500</v>
      </c>
      <c r="E32" s="514" t="str">
        <f>VLOOKUP(D31,Solarwärme!S15:V20,4,FALSE)</f>
        <v>l</v>
      </c>
      <c r="F32" s="486"/>
      <c r="G32" s="518">
        <f>D32*G31</f>
        <v>34650</v>
      </c>
      <c r="H32" s="517" t="s">
        <v>226</v>
      </c>
      <c r="I32" s="487"/>
      <c r="J32" s="516">
        <f>T27</f>
        <v>14</v>
      </c>
      <c r="K32" s="715" t="s">
        <v>225</v>
      </c>
      <c r="L32" s="715"/>
      <c r="M32" s="11"/>
      <c r="N32" s="832" t="s">
        <v>224</v>
      </c>
      <c r="O32" s="833">
        <f>IF(H$42=N32,1,0)</f>
        <v>0</v>
      </c>
      <c r="P32" s="833" t="s">
        <v>223</v>
      </c>
      <c r="R32" s="835"/>
      <c r="S32" s="835" t="s">
        <v>585</v>
      </c>
      <c r="T32" s="835" t="s">
        <v>586</v>
      </c>
      <c r="U32" s="836" t="s">
        <v>587</v>
      </c>
      <c r="V32" s="809">
        <f>SUM(V33:V38)</f>
        <v>1346</v>
      </c>
      <c r="W32" s="794"/>
      <c r="X32" s="794"/>
      <c r="Y32" s="813">
        <v>21</v>
      </c>
      <c r="Z32" s="814">
        <f>Z31*(1+(Solarwärme!$D$34/100))</f>
        <v>6464.2917204333562</v>
      </c>
      <c r="AA32" s="807">
        <f t="shared" si="6"/>
        <v>5578.2050152703014</v>
      </c>
      <c r="AB32" s="807">
        <f t="shared" si="7"/>
        <v>10699.459441649466</v>
      </c>
      <c r="AC32" s="794">
        <v>20</v>
      </c>
      <c r="AD32" s="820">
        <f>Solarwärme!$H$38</f>
        <v>5940</v>
      </c>
      <c r="AE32" s="821">
        <f>Solarwärme!$H$38</f>
        <v>5940</v>
      </c>
      <c r="AF32" s="807">
        <f>($AE$13/Solarwärme!$G$31)*(Solarwärme!$D$33*((1+(Solarwärme!$D$34/100))^(AC32-1)))</f>
        <v>995.63288778907315</v>
      </c>
      <c r="AG32" s="807">
        <f>($AE$13/Solarwärme!$G$31)*(Solarwärme!$D$33*((1+((Solarwärme!$D$34-2)/100))^($AC32-1)))</f>
        <v>692.10047424898892</v>
      </c>
      <c r="AH32" s="807">
        <f>($AE$13/Solarwärme!$G$31)*(Solarwärme!$D$33*((1+((Solarwärme!$D$34+2)/100))^($AC32-1)))</f>
        <v>1422.5361824056554</v>
      </c>
      <c r="AI32" s="807">
        <f>Solarwärme!$D$38*50*((1+($AI$12/100))^(AC32-1))</f>
        <v>0</v>
      </c>
      <c r="AJ32" s="807">
        <f>Solarwärme!$G$71*(Solarwärme!$D$35)*((1+Solarwärme!$L$71)^(AC32-1))</f>
        <v>161.400777460135</v>
      </c>
      <c r="AK32" s="807">
        <f t="shared" si="11"/>
        <v>834.23211032893812</v>
      </c>
      <c r="AL32" s="807">
        <f t="shared" si="12"/>
        <v>530.69969678885388</v>
      </c>
      <c r="AM32" s="807">
        <f t="shared" si="13"/>
        <v>1261.1354049455203</v>
      </c>
      <c r="AN32" s="794">
        <v>20</v>
      </c>
      <c r="AO32" s="822">
        <f t="shared" si="8"/>
        <v>2113.3727364864126</v>
      </c>
      <c r="AP32" s="822">
        <f t="shared" si="9"/>
        <v>834.23211032893812</v>
      </c>
      <c r="AQ32" s="822"/>
      <c r="AR32" s="822"/>
      <c r="AS32" s="809">
        <f t="shared" si="10"/>
        <v>24.425675016261089</v>
      </c>
      <c r="AT32" s="794">
        <v>1991</v>
      </c>
      <c r="AU32" s="794">
        <v>2.6</v>
      </c>
      <c r="AV32" s="809">
        <f t="shared" si="0"/>
        <v>25.740000000000002</v>
      </c>
      <c r="AW32" s="794">
        <v>3.15</v>
      </c>
      <c r="AX32" s="809">
        <f t="shared" si="1"/>
        <v>34.964999999999996</v>
      </c>
      <c r="AY32" s="794">
        <v>14.8</v>
      </c>
      <c r="AZ32" s="794"/>
      <c r="BA32" s="810">
        <f t="shared" si="2"/>
        <v>4.0656993720318502E-2</v>
      </c>
      <c r="BB32" s="811">
        <f t="shared" si="3"/>
        <v>5.2464829125352885E-2</v>
      </c>
      <c r="BC32" s="811">
        <f t="shared" si="4"/>
        <v>5.0736205778585841E-2</v>
      </c>
      <c r="BD32" s="811">
        <f t="shared" si="5"/>
        <v>4.0643760650822758E-2</v>
      </c>
      <c r="BE32" s="282"/>
      <c r="BF32" s="282"/>
      <c r="BG32" s="282"/>
    </row>
    <row r="33" spans="1:59" ht="18" customHeight="1">
      <c r="A33" s="506" t="s">
        <v>222</v>
      </c>
      <c r="B33" s="495"/>
      <c r="C33" s="494"/>
      <c r="D33" s="515">
        <v>0.6</v>
      </c>
      <c r="E33" s="514" t="str">
        <f>VLOOKUP(D31,Solarwärme!S15:W20,5,FALSE)</f>
        <v>€/l</v>
      </c>
      <c r="F33" s="486"/>
      <c r="G33" s="351"/>
      <c r="H33" s="509"/>
      <c r="I33" s="487"/>
      <c r="J33" s="501">
        <f>U51</f>
        <v>2000</v>
      </c>
      <c r="K33" s="500" t="s">
        <v>221</v>
      </c>
      <c r="L33" s="513"/>
      <c r="M33" s="11"/>
      <c r="O33" s="837"/>
      <c r="P33" s="837"/>
      <c r="R33" s="835" t="s">
        <v>220</v>
      </c>
      <c r="S33" s="838">
        <v>2.61</v>
      </c>
      <c r="T33" s="838">
        <v>2.36</v>
      </c>
      <c r="U33" s="838">
        <v>1346</v>
      </c>
      <c r="V33" s="809">
        <f>IF(VLOOKUP(J30,R33:U38,4,0)=U33,U33,0)</f>
        <v>1346</v>
      </c>
      <c r="W33" s="794"/>
      <c r="X33" s="794"/>
      <c r="Y33" s="813">
        <v>22</v>
      </c>
      <c r="Z33" s="814">
        <f>Z32*(1+(Solarwärme!$D$34/100))</f>
        <v>6819.8277650571908</v>
      </c>
      <c r="AA33" s="807">
        <f t="shared" si="6"/>
        <v>5878.9269694263548</v>
      </c>
      <c r="AB33" s="807">
        <f t="shared" si="7"/>
        <v>11640.360237280302</v>
      </c>
      <c r="AC33" s="794">
        <v>21</v>
      </c>
      <c r="AD33" s="820">
        <f>Solarwärme!$H$38</f>
        <v>5940</v>
      </c>
      <c r="AE33" s="821">
        <f>Solarwärme!$H$38</f>
        <v>5940</v>
      </c>
      <c r="AF33" s="807">
        <f>($AE$13/Solarwärme!$G$31)*(Solarwärme!$D$33*((1+(Solarwärme!$D$34/100))^(AC33-1)))</f>
        <v>1050.3926966174722</v>
      </c>
      <c r="AG33" s="807">
        <f>($AE$13/Solarwärme!$G$31)*(Solarwärme!$D$33*((1+((Solarwärme!$D$34-2)/100))^($AC33-1)))</f>
        <v>716.32399084770339</v>
      </c>
      <c r="AH33" s="807">
        <f>($AE$13/Solarwärme!$G$31)*(Solarwärme!$D$33*((1+((Solarwärme!$D$34+2)/100))^($AC33-1)))</f>
        <v>1529.2263960860796</v>
      </c>
      <c r="AI33" s="807">
        <f>Solarwärme!$D$38*50*((1+($AI$12/100))^(AC33-1))</f>
        <v>0</v>
      </c>
      <c r="AJ33" s="807">
        <f>Solarwärme!$G$71*(Solarwärme!$D$35)*((1+Solarwärme!$L$71)^(AC33-1))</f>
        <v>164.30599145441747</v>
      </c>
      <c r="AK33" s="807">
        <f t="shared" si="11"/>
        <v>886.08670516305472</v>
      </c>
      <c r="AL33" s="807">
        <f t="shared" si="12"/>
        <v>552.01799939328589</v>
      </c>
      <c r="AM33" s="807">
        <f t="shared" si="13"/>
        <v>1364.9204046316622</v>
      </c>
      <c r="AN33" s="794">
        <v>21</v>
      </c>
      <c r="AO33" s="822">
        <f t="shared" si="8"/>
        <v>2999.4594416494674</v>
      </c>
      <c r="AP33" s="822">
        <f t="shared" si="9"/>
        <v>886.08670516305472</v>
      </c>
      <c r="AQ33" s="839"/>
      <c r="AR33" s="839"/>
      <c r="AS33" s="809">
        <f t="shared" si="10"/>
        <v>25.771403423974871</v>
      </c>
      <c r="AT33" s="794">
        <v>1992</v>
      </c>
      <c r="AU33" s="794">
        <v>2.4500000000000002</v>
      </c>
      <c r="AV33" s="809">
        <f t="shared" si="0"/>
        <v>24.255000000000003</v>
      </c>
      <c r="AW33" s="794">
        <v>3.2</v>
      </c>
      <c r="AX33" s="809">
        <f t="shared" si="1"/>
        <v>35.520000000000003</v>
      </c>
      <c r="AY33" s="794">
        <v>15.5</v>
      </c>
      <c r="AZ33" s="794"/>
      <c r="BA33" s="810">
        <f t="shared" si="2"/>
        <v>4.5363600938538751E-2</v>
      </c>
      <c r="BB33" s="811">
        <f t="shared" si="3"/>
        <v>5.8298874910734044E-2</v>
      </c>
      <c r="BC33" s="811">
        <f t="shared" si="4"/>
        <v>5.6776680963182891E-2</v>
      </c>
      <c r="BD33" s="811">
        <f t="shared" si="5"/>
        <v>4.6398355569937433E-2</v>
      </c>
      <c r="BE33" s="282"/>
      <c r="BF33" s="282"/>
      <c r="BG33" s="282"/>
    </row>
    <row r="34" spans="1:59" ht="18" customHeight="1">
      <c r="A34" s="491" t="s">
        <v>219</v>
      </c>
      <c r="B34" s="490"/>
      <c r="C34" s="512"/>
      <c r="D34" s="511">
        <v>5.5</v>
      </c>
      <c r="E34" s="510" t="s">
        <v>218</v>
      </c>
      <c r="F34" s="509"/>
      <c r="G34" s="487"/>
      <c r="H34" s="508" t="s">
        <v>30</v>
      </c>
      <c r="J34" s="501">
        <f>IF(AND(H34="Ja",J33&gt;0,G26="Gebäudebestand"),500,0)</f>
        <v>0</v>
      </c>
      <c r="K34" s="500" t="s">
        <v>217</v>
      </c>
      <c r="L34" s="500"/>
      <c r="M34" s="11"/>
      <c r="N34" s="280" t="s">
        <v>30</v>
      </c>
      <c r="O34" s="280" t="s">
        <v>29</v>
      </c>
      <c r="P34" s="812"/>
      <c r="R34" s="835" t="s">
        <v>216</v>
      </c>
      <c r="S34" s="838">
        <v>2.61</v>
      </c>
      <c r="T34" s="838">
        <v>2.36</v>
      </c>
      <c r="U34" s="838">
        <v>1157</v>
      </c>
      <c r="V34" s="809">
        <f>IF(VLOOKUP(J30,R33:U38,4,0)=U34,U34,0)</f>
        <v>0</v>
      </c>
      <c r="W34" s="794"/>
      <c r="X34" s="794"/>
      <c r="Y34" s="813">
        <v>23</v>
      </c>
      <c r="Z34" s="814">
        <f>Z33*(1+(Solarwärme!$D$34/100))</f>
        <v>7194.9182921353358</v>
      </c>
      <c r="AA34" s="807">
        <f t="shared" si="6"/>
        <v>6196.0792032706822</v>
      </c>
      <c r="AB34" s="807">
        <f t="shared" si="7"/>
        <v>12639.199326144955</v>
      </c>
      <c r="AC34" s="794">
        <v>22</v>
      </c>
      <c r="AD34" s="820">
        <f>Solarwärme!$H$38</f>
        <v>5940</v>
      </c>
      <c r="AE34" s="821">
        <f>Solarwärme!$H$38</f>
        <v>5940</v>
      </c>
      <c r="AF34" s="807">
        <f>($AE$13/Solarwärme!$G$31)*(Solarwärme!$D$33*((1+(Solarwärme!$D$34/100))^(AC34-1)))</f>
        <v>1108.164294931433</v>
      </c>
      <c r="AG34" s="807">
        <f>($AE$13/Solarwärme!$G$31)*(Solarwärme!$D$33*((1+((Solarwärme!$D$34-2)/100))^($AC34-1)))</f>
        <v>741.39533052737283</v>
      </c>
      <c r="AH34" s="807">
        <f>($AE$13/Solarwärme!$G$31)*(Solarwärme!$D$33*((1+((Solarwärme!$D$34+2)/100))^($AC34-1)))</f>
        <v>1643.9183757925359</v>
      </c>
      <c r="AI34" s="807">
        <f>Solarwärme!$D$38*50*((1+($AI$12/100))^(AC34-1))</f>
        <v>0</v>
      </c>
      <c r="AJ34" s="807">
        <f>Solarwärme!$G$71*(Solarwärme!$D$35)*((1+Solarwärme!$L$71)^(AC34-1))</f>
        <v>167.26349930059698</v>
      </c>
      <c r="AK34" s="807">
        <f t="shared" si="11"/>
        <v>940.900795630836</v>
      </c>
      <c r="AL34" s="807">
        <f t="shared" si="12"/>
        <v>574.13183122677583</v>
      </c>
      <c r="AM34" s="807">
        <f t="shared" si="13"/>
        <v>1476.6548764919389</v>
      </c>
      <c r="AN34" s="794">
        <v>22</v>
      </c>
      <c r="AO34" s="822">
        <f t="shared" si="8"/>
        <v>3940.3602372803034</v>
      </c>
      <c r="AP34" s="822">
        <f t="shared" si="9"/>
        <v>940.900795630836</v>
      </c>
      <c r="AQ34" s="840"/>
      <c r="AR34" s="840"/>
      <c r="AS34" s="809">
        <f t="shared" si="10"/>
        <v>27.191274509265515</v>
      </c>
      <c r="AT34" s="794">
        <v>1993</v>
      </c>
      <c r="AU34" s="794">
        <v>2.5</v>
      </c>
      <c r="AV34" s="809">
        <f t="shared" si="0"/>
        <v>24.75</v>
      </c>
      <c r="AW34" s="794">
        <v>3.15</v>
      </c>
      <c r="AX34" s="809">
        <f t="shared" si="1"/>
        <v>34.964999999999996</v>
      </c>
      <c r="AY34" s="794">
        <v>16</v>
      </c>
      <c r="AZ34" s="794"/>
      <c r="BA34" s="810">
        <f t="shared" si="2"/>
        <v>4.6567061672660115E-2</v>
      </c>
      <c r="BB34" s="811">
        <f t="shared" si="3"/>
        <v>6.0331648796713599E-2</v>
      </c>
      <c r="BC34" s="811">
        <f t="shared" si="4"/>
        <v>5.8834741285272552E-2</v>
      </c>
      <c r="BD34" s="811">
        <f t="shared" si="5"/>
        <v>4.7947642989922823E-2</v>
      </c>
      <c r="BE34" s="282"/>
      <c r="BF34" s="282"/>
      <c r="BG34" s="282"/>
    </row>
    <row r="35" spans="1:59" ht="18" customHeight="1">
      <c r="A35" s="506" t="s">
        <v>215</v>
      </c>
      <c r="B35" s="495"/>
      <c r="C35" s="494"/>
      <c r="D35" s="505">
        <v>11500</v>
      </c>
      <c r="E35" s="492" t="s">
        <v>192</v>
      </c>
      <c r="F35" s="509"/>
      <c r="G35" s="487"/>
      <c r="H35" s="508" t="s">
        <v>29</v>
      </c>
      <c r="J35" s="501">
        <f>IF(AND(O38=1,G26="Gebäudebestand"),IF(H35="Ja",((J33+J34)*1.2)-(J33+J34),0),0)</f>
        <v>400</v>
      </c>
      <c r="K35" s="500" t="s">
        <v>214</v>
      </c>
      <c r="L35" s="500"/>
      <c r="M35" s="507"/>
      <c r="N35" s="280" t="s">
        <v>30</v>
      </c>
      <c r="O35" s="812" t="s">
        <v>29</v>
      </c>
      <c r="P35" s="812"/>
      <c r="R35" s="835" t="s">
        <v>213</v>
      </c>
      <c r="S35" s="838">
        <v>2.61</v>
      </c>
      <c r="T35" s="838">
        <v>2.37</v>
      </c>
      <c r="U35" s="838">
        <v>1284</v>
      </c>
      <c r="V35" s="809">
        <f>IF(VLOOKUP(J30,R33:U38,4,0)=U35,U35,0)</f>
        <v>0</v>
      </c>
      <c r="W35" s="794"/>
      <c r="X35" s="794"/>
      <c r="Y35" s="813">
        <v>24</v>
      </c>
      <c r="Z35" s="814">
        <f>Z34*(1+(Solarwärme!$D$34/100))</f>
        <v>7590.6387982027791</v>
      </c>
      <c r="AA35" s="807">
        <f t="shared" si="6"/>
        <v>6530.5634124859125</v>
      </c>
      <c r="AB35" s="807">
        <f t="shared" si="7"/>
        <v>13699.274711861821</v>
      </c>
      <c r="AC35" s="794">
        <v>23</v>
      </c>
      <c r="AD35" s="820">
        <f>Solarwärme!$H$38</f>
        <v>5940</v>
      </c>
      <c r="AE35" s="821">
        <f>Solarwärme!$H$38</f>
        <v>5940</v>
      </c>
      <c r="AF35" s="807">
        <f>($AE$13/Solarwärme!$G$31)*(Solarwärme!$D$33*((1+(Solarwärme!$D$34/100))^(AC35-1)))</f>
        <v>1169.1133311526617</v>
      </c>
      <c r="AG35" s="807">
        <f>($AE$13/Solarwärme!$G$31)*(Solarwärme!$D$33*((1+((Solarwärme!$D$34-2)/100))^($AC35-1)))</f>
        <v>767.34416709583093</v>
      </c>
      <c r="AH35" s="807">
        <f>($AE$13/Solarwärme!$G$31)*(Solarwärme!$D$33*((1+((Solarwärme!$D$34+2)/100))^($AC35-1)))</f>
        <v>1767.2122539769757</v>
      </c>
      <c r="AI35" s="807">
        <f>Solarwärme!$D$38*50*((1+($AI$12/100))^(AC35-1))</f>
        <v>0</v>
      </c>
      <c r="AJ35" s="807">
        <f>Solarwärme!$G$71*(Solarwärme!$D$35)*((1+Solarwärme!$L$71)^(AC35-1))</f>
        <v>170.27424228800768</v>
      </c>
      <c r="AK35" s="807">
        <f t="shared" si="11"/>
        <v>998.83908886465395</v>
      </c>
      <c r="AL35" s="807">
        <f t="shared" si="12"/>
        <v>597.06992480782321</v>
      </c>
      <c r="AM35" s="807">
        <f t="shared" si="13"/>
        <v>1596.9380116889681</v>
      </c>
      <c r="AN35" s="794">
        <v>23</v>
      </c>
      <c r="AO35" s="822">
        <f t="shared" si="8"/>
        <v>4939.199326144957</v>
      </c>
      <c r="AP35" s="822">
        <f t="shared" si="9"/>
        <v>998.83908886465395</v>
      </c>
      <c r="AQ35" s="794"/>
      <c r="AR35" s="794"/>
      <c r="AS35" s="809">
        <f t="shared" si="10"/>
        <v>28.689373150334863</v>
      </c>
      <c r="AT35" s="794">
        <v>1994</v>
      </c>
      <c r="AU35" s="794">
        <v>2.2999999999999998</v>
      </c>
      <c r="AV35" s="809">
        <f t="shared" si="0"/>
        <v>22.77</v>
      </c>
      <c r="AW35" s="794">
        <v>3.1</v>
      </c>
      <c r="AX35" s="809">
        <f t="shared" si="1"/>
        <v>34.409999999999997</v>
      </c>
      <c r="AY35" s="794">
        <v>16.5</v>
      </c>
      <c r="AZ35" s="794"/>
      <c r="BA35" s="810">
        <f t="shared" si="2"/>
        <v>5.3333808775172464E-2</v>
      </c>
      <c r="BB35" s="811">
        <f t="shared" si="3"/>
        <v>6.8727392550163913E-2</v>
      </c>
      <c r="BC35" s="811">
        <f t="shared" si="4"/>
        <v>6.7625139360721898E-2</v>
      </c>
      <c r="BD35" s="811">
        <f t="shared" si="5"/>
        <v>5.6511114185934908E-2</v>
      </c>
      <c r="BE35" s="282"/>
      <c r="BF35" s="282"/>
      <c r="BG35" s="282"/>
    </row>
    <row r="36" spans="1:59" ht="18" customHeight="1">
      <c r="A36" s="491" t="s">
        <v>212</v>
      </c>
      <c r="B36" s="490"/>
      <c r="C36" s="484"/>
      <c r="D36" s="505">
        <v>800</v>
      </c>
      <c r="E36" s="492" t="s">
        <v>192</v>
      </c>
      <c r="F36" s="509"/>
      <c r="G36" s="487"/>
      <c r="H36" s="508" t="s">
        <v>29</v>
      </c>
      <c r="J36" s="501">
        <f>IF(AND(O38=1,G26="Gebäudebestand"),IF(H36="Ja",600,0),0)</f>
        <v>600</v>
      </c>
      <c r="K36" s="500" t="s">
        <v>211</v>
      </c>
      <c r="L36" s="500"/>
      <c r="M36" s="507"/>
      <c r="N36" s="280" t="s">
        <v>30</v>
      </c>
      <c r="O36" s="812" t="s">
        <v>29</v>
      </c>
      <c r="P36" s="812"/>
      <c r="R36" s="835" t="s">
        <v>210</v>
      </c>
      <c r="S36" s="838">
        <v>2.25</v>
      </c>
      <c r="T36" s="838">
        <v>2.0099999999999998</v>
      </c>
      <c r="U36" s="838">
        <v>1086</v>
      </c>
      <c r="V36" s="809">
        <f>IF(VLOOKUP(J30,R33:U38,4,0)=U36,U36,0)</f>
        <v>0</v>
      </c>
      <c r="W36" s="794"/>
      <c r="X36" s="794"/>
      <c r="Y36" s="813">
        <v>25</v>
      </c>
      <c r="Z36" s="814">
        <f>Z35*(1+(Solarwärme!$D$34/100))</f>
        <v>8008.1239321039311</v>
      </c>
      <c r="AA36" s="807">
        <f t="shared" si="6"/>
        <v>6883.3308505626173</v>
      </c>
      <c r="AB36" s="807">
        <f t="shared" si="7"/>
        <v>14824.067793403134</v>
      </c>
      <c r="AC36" s="794">
        <v>24</v>
      </c>
      <c r="AD36" s="820">
        <f>Solarwärme!$H$38</f>
        <v>5940</v>
      </c>
      <c r="AE36" s="821">
        <f>Solarwärme!$H$38</f>
        <v>5940</v>
      </c>
      <c r="AF36" s="807">
        <f>($AE$13/Solarwärme!$G$31)*(Solarwärme!$D$33*((1+(Solarwärme!$D$34/100))^(AC36-1)))</f>
        <v>1233.4145643660581</v>
      </c>
      <c r="AG36" s="807">
        <f>($AE$13/Solarwärme!$G$31)*(Solarwärme!$D$33*((1+((Solarwärme!$D$34-2)/100))^($AC36-1)))</f>
        <v>794.20121294418504</v>
      </c>
      <c r="AH36" s="807">
        <f>($AE$13/Solarwärme!$G$31)*(Solarwärme!$D$33*((1+((Solarwärme!$D$34+2)/100))^($AC36-1)))</f>
        <v>1899.753173025249</v>
      </c>
      <c r="AI36" s="807">
        <f>Solarwärme!$D$38*50*((1+($AI$12/100))^(AC36-1))</f>
        <v>0</v>
      </c>
      <c r="AJ36" s="807">
        <f>Solarwärme!$G$71*(Solarwärme!$D$35)*((1+Solarwärme!$L$71)^(AC36-1))</f>
        <v>173.33917864919189</v>
      </c>
      <c r="AK36" s="807">
        <f t="shared" si="11"/>
        <v>1060.0753857168663</v>
      </c>
      <c r="AL36" s="807">
        <f t="shared" si="12"/>
        <v>620.86203429499312</v>
      </c>
      <c r="AM36" s="807">
        <f t="shared" si="13"/>
        <v>1726.4139943760572</v>
      </c>
      <c r="AN36" s="794">
        <v>24</v>
      </c>
      <c r="AO36" s="822">
        <f t="shared" si="8"/>
        <v>5999.2747118618236</v>
      </c>
      <c r="AP36" s="822">
        <f t="shared" si="9"/>
        <v>1060.0753857168663</v>
      </c>
      <c r="AQ36" s="794"/>
      <c r="AR36" s="794"/>
      <c r="AS36" s="809">
        <f t="shared" si="10"/>
        <v>30.270009281054026</v>
      </c>
      <c r="AT36" s="794">
        <v>1995</v>
      </c>
      <c r="AU36" s="794">
        <v>2.2000000000000002</v>
      </c>
      <c r="AV36" s="809">
        <f t="shared" si="0"/>
        <v>21.78</v>
      </c>
      <c r="AW36" s="794">
        <v>3</v>
      </c>
      <c r="AX36" s="809">
        <f t="shared" si="1"/>
        <v>33.299999999999997</v>
      </c>
      <c r="AY36" s="794">
        <v>16.8</v>
      </c>
      <c r="AZ36" s="794"/>
      <c r="BA36" s="810">
        <f t="shared" si="2"/>
        <v>5.8692338471190153E-2</v>
      </c>
      <c r="BB36" s="811">
        <f t="shared" si="3"/>
        <v>7.5723345005102916E-2</v>
      </c>
      <c r="BC36" s="811">
        <f t="shared" si="4"/>
        <v>7.4982856318583258E-2</v>
      </c>
      <c r="BD36" s="811">
        <f t="shared" si="5"/>
        <v>6.3537199970387315E-2</v>
      </c>
      <c r="BE36" s="282"/>
      <c r="BF36" s="282"/>
      <c r="BG36" s="282"/>
    </row>
    <row r="37" spans="1:59" ht="18" customHeight="1">
      <c r="A37" s="506" t="s">
        <v>209</v>
      </c>
      <c r="B37" s="495"/>
      <c r="C37" s="494"/>
      <c r="D37" s="505">
        <v>600</v>
      </c>
      <c r="E37" s="504" t="str">
        <f>E32</f>
        <v>l</v>
      </c>
      <c r="F37" s="486"/>
      <c r="J37" s="706"/>
      <c r="K37" s="500" t="s">
        <v>575</v>
      </c>
      <c r="L37" s="500"/>
      <c r="O37" s="841">
        <f>IF(A30="Warmwasser, so rechnet sich Ihre Solaranlage",1,0)</f>
        <v>0</v>
      </c>
      <c r="P37" s="842" t="s">
        <v>207</v>
      </c>
      <c r="Q37" s="843"/>
      <c r="R37" s="844" t="s">
        <v>206</v>
      </c>
      <c r="S37" s="838">
        <v>2.25</v>
      </c>
      <c r="T37" s="838">
        <v>2.0099999999999998</v>
      </c>
      <c r="U37" s="838">
        <v>858</v>
      </c>
      <c r="V37" s="809">
        <f>IF(VLOOKUP(J30,R33:U38,4,0)=U37,U37,0)</f>
        <v>0</v>
      </c>
      <c r="W37" s="794"/>
      <c r="X37" s="794"/>
      <c r="Y37" s="813">
        <v>26</v>
      </c>
      <c r="Z37" s="814">
        <f>Z36*(1+(Solarwärme!$D$34/100))</f>
        <v>8448.570748369646</v>
      </c>
      <c r="AA37" s="807">
        <f t="shared" si="6"/>
        <v>7255.3850538405595</v>
      </c>
      <c r="AB37" s="807">
        <f t="shared" si="7"/>
        <v>16017.253487932219</v>
      </c>
      <c r="AC37" s="794">
        <v>25</v>
      </c>
      <c r="AD37" s="820">
        <f>Solarwärme!$H$38</f>
        <v>5940</v>
      </c>
      <c r="AE37" s="821">
        <f>Solarwärme!$H$38</f>
        <v>5940</v>
      </c>
      <c r="AF37" s="807">
        <f>($AE$13/Solarwärme!$G$31)*(Solarwärme!$D$33*((1+(Solarwärme!$D$34/100))^(AC37-1)))</f>
        <v>1301.2523654061913</v>
      </c>
      <c r="AG37" s="807">
        <f>($AE$13/Solarwärme!$G$31)*(Solarwärme!$D$33*((1+((Solarwärme!$D$34-2)/100))^($AC37-1)))</f>
        <v>821.99825539723133</v>
      </c>
      <c r="AH37" s="807">
        <f>($AE$13/Solarwärme!$G$31)*(Solarwärme!$D$33*((1+((Solarwärme!$D$34+2)/100))^($AC37-1)))</f>
        <v>2042.2346610021425</v>
      </c>
      <c r="AI37" s="807">
        <f>Solarwärme!$D$38*50*((1+($AI$12/100))^(AC37-1))</f>
        <v>0</v>
      </c>
      <c r="AJ37" s="807">
        <f>Solarwärme!$G$71*(Solarwärme!$D$35)*((1+Solarwärme!$L$71)^(AC37-1))</f>
        <v>176.45928386487731</v>
      </c>
      <c r="AK37" s="807">
        <f t="shared" si="11"/>
        <v>1124.793081541314</v>
      </c>
      <c r="AL37" s="807">
        <f t="shared" si="12"/>
        <v>645.53897153235403</v>
      </c>
      <c r="AM37" s="807">
        <f t="shared" si="13"/>
        <v>1865.7753771372652</v>
      </c>
      <c r="AN37" s="794">
        <v>25</v>
      </c>
      <c r="AO37" s="822">
        <f t="shared" si="8"/>
        <v>7124.0677934031373</v>
      </c>
      <c r="AP37" s="822">
        <f t="shared" si="9"/>
        <v>1124.793081541314</v>
      </c>
      <c r="AQ37" s="794"/>
      <c r="AR37" s="794"/>
      <c r="AS37" s="809">
        <f t="shared" si="10"/>
        <v>31.937730290367188</v>
      </c>
      <c r="AT37" s="794">
        <v>1996</v>
      </c>
      <c r="AU37" s="794">
        <v>2.6</v>
      </c>
      <c r="AV37" s="809">
        <f t="shared" si="0"/>
        <v>25.740000000000002</v>
      </c>
      <c r="AW37" s="794">
        <v>2.95</v>
      </c>
      <c r="AX37" s="809">
        <f t="shared" si="1"/>
        <v>32.744999999999997</v>
      </c>
      <c r="AY37" s="794">
        <v>15.2</v>
      </c>
      <c r="AZ37" s="794"/>
      <c r="BA37" s="810">
        <f t="shared" si="2"/>
        <v>5.2241135875313649E-2</v>
      </c>
      <c r="BB37" s="811">
        <f t="shared" si="3"/>
        <v>6.9417936872443686E-2</v>
      </c>
      <c r="BC37" s="811">
        <f t="shared" si="4"/>
        <v>6.8213993721974564E-2</v>
      </c>
      <c r="BD37" s="811">
        <f t="shared" si="5"/>
        <v>5.5556296366047864E-2</v>
      </c>
      <c r="BE37" s="282"/>
      <c r="BF37" s="282"/>
      <c r="BG37" s="282"/>
    </row>
    <row r="38" spans="1:59" ht="18" customHeight="1">
      <c r="A38" s="499" t="s">
        <v>205</v>
      </c>
      <c r="B38" s="490"/>
      <c r="C38" s="484"/>
      <c r="D38" s="498"/>
      <c r="E38" s="497"/>
      <c r="F38" s="351"/>
      <c r="G38" s="503">
        <f>D37/D32</f>
        <v>0.17142857142857143</v>
      </c>
      <c r="H38" s="502">
        <f>D37*G31</f>
        <v>5940</v>
      </c>
      <c r="I38" s="487"/>
      <c r="J38" s="501">
        <f>J36+J33+(J35)+J34+J37</f>
        <v>3000</v>
      </c>
      <c r="K38" s="500" t="s">
        <v>208</v>
      </c>
      <c r="L38" s="500"/>
      <c r="O38" s="841">
        <f>IF(A30="Heizungsunterstützung, so rechnet sich Ihre Solaranlage",1,0)</f>
        <v>1</v>
      </c>
      <c r="P38" s="842" t="s">
        <v>204</v>
      </c>
      <c r="Q38" s="843"/>
      <c r="R38" s="843" t="s">
        <v>203</v>
      </c>
      <c r="S38" s="838">
        <v>2.61</v>
      </c>
      <c r="T38" s="838">
        <v>2.36</v>
      </c>
      <c r="U38" s="838">
        <v>1066</v>
      </c>
      <c r="V38" s="809">
        <f>IF(VLOOKUP(J30,R33:U38,4,0)=U38,U38,0)</f>
        <v>0</v>
      </c>
      <c r="W38" s="794"/>
      <c r="X38" s="794"/>
      <c r="Y38" s="813">
        <v>27</v>
      </c>
      <c r="Z38" s="814">
        <f>Z37*(1+(Solarwärme!$D$34/100))</f>
        <v>8913.2421395299752</v>
      </c>
      <c r="AA38" s="807">
        <f t="shared" si="6"/>
        <v>7647.7847164157338</v>
      </c>
      <c r="AB38" s="807">
        <f t="shared" si="7"/>
        <v>17282.710911046459</v>
      </c>
      <c r="AC38" s="794">
        <v>26</v>
      </c>
      <c r="AD38" s="820">
        <f>Solarwärme!$H$38</f>
        <v>5940</v>
      </c>
      <c r="AE38" s="821">
        <f>Solarwärme!$H$38</f>
        <v>5940</v>
      </c>
      <c r="AF38" s="807">
        <f>($AE$13/Solarwärme!$G$31)*(Solarwärme!$D$33*((1+(Solarwärme!$D$34/100))^(AC38-1)))</f>
        <v>1372.8212455035318</v>
      </c>
      <c r="AG38" s="807">
        <f>($AE$13/Solarwärme!$G$31)*(Solarwärme!$D$33*((1+((Solarwärme!$D$34-2)/100))^($AC38-1)))</f>
        <v>850.76819433613423</v>
      </c>
      <c r="AH38" s="807">
        <f>($AE$13/Solarwärme!$G$31)*(Solarwärme!$D$33*((1+((Solarwärme!$D$34+2)/100))^($AC38-1)))</f>
        <v>2195.4022605773034</v>
      </c>
      <c r="AI38" s="807">
        <f>Solarwärme!$D$38*50*((1+($AI$12/100))^(AC38-1))</f>
        <v>0</v>
      </c>
      <c r="AJ38" s="807">
        <f>Solarwärme!$G$71*(Solarwärme!$D$35)*((1+Solarwärme!$L$71)^(AC38-1))</f>
        <v>179.6355509744451</v>
      </c>
      <c r="AK38" s="807">
        <f t="shared" si="11"/>
        <v>1193.1856945290867</v>
      </c>
      <c r="AL38" s="807">
        <f t="shared" si="12"/>
        <v>671.13264336168913</v>
      </c>
      <c r="AM38" s="807">
        <f t="shared" si="13"/>
        <v>2015.7667096028583</v>
      </c>
      <c r="AN38" s="794">
        <v>26</v>
      </c>
      <c r="AO38" s="822">
        <f t="shared" si="8"/>
        <v>8317.2534879322247</v>
      </c>
      <c r="AP38" s="822">
        <f t="shared" si="9"/>
        <v>1193.1856945290867</v>
      </c>
      <c r="AQ38" s="794"/>
      <c r="AR38" s="794"/>
      <c r="AS38" s="809">
        <f t="shared" si="10"/>
        <v>33.697334104838433</v>
      </c>
      <c r="AT38" s="794">
        <v>1997</v>
      </c>
      <c r="AU38" s="794">
        <v>2.65</v>
      </c>
      <c r="AV38" s="809">
        <f t="shared" si="0"/>
        <v>26.234999999999999</v>
      </c>
      <c r="AW38" s="794">
        <v>3.1</v>
      </c>
      <c r="AX38" s="809">
        <f t="shared" si="1"/>
        <v>34.409999999999997</v>
      </c>
      <c r="AY38" s="794">
        <v>15.3</v>
      </c>
      <c r="AZ38" s="794"/>
      <c r="BA38" s="810">
        <f t="shared" si="2"/>
        <v>5.4215883593756509E-2</v>
      </c>
      <c r="BB38" s="811">
        <f t="shared" si="3"/>
        <v>7.2850299043720979E-2</v>
      </c>
      <c r="BC38" s="811">
        <f t="shared" si="4"/>
        <v>7.1801565497871644E-2</v>
      </c>
      <c r="BD38" s="811">
        <f t="shared" si="5"/>
        <v>5.8403613925535058E-2</v>
      </c>
      <c r="BE38" s="282"/>
      <c r="BF38" s="282"/>
      <c r="BG38" s="282"/>
    </row>
    <row r="39" spans="1:59" ht="18" customHeight="1">
      <c r="A39" s="496" t="str">
        <f>IF(J38=0,"Steuerbonus 20% vom Handwerkerlohn","kein Steuerbonus für geförderte Anlagen")</f>
        <v>kein Steuerbonus für geförderte Anlagen</v>
      </c>
      <c r="B39" s="495"/>
      <c r="C39" s="494"/>
      <c r="D39" s="493"/>
      <c r="E39" s="492" t="str">
        <f>IF(J38=0,"Euro","")</f>
        <v/>
      </c>
      <c r="F39" s="351"/>
      <c r="G39" s="487"/>
      <c r="H39" s="487"/>
      <c r="I39" s="487"/>
      <c r="J39" s="487"/>
      <c r="K39" s="487"/>
      <c r="L39" s="487"/>
      <c r="O39" s="842"/>
      <c r="P39" s="842"/>
      <c r="Q39" s="843"/>
      <c r="R39" s="845">
        <f>IF($G$26=R40,1,0)</f>
        <v>1</v>
      </c>
      <c r="S39" s="845">
        <f>IF($G$26=S40,1,0)</f>
        <v>1</v>
      </c>
      <c r="T39" s="845">
        <f>IF($G$26=T40,1,0)</f>
        <v>0</v>
      </c>
      <c r="U39" s="846"/>
      <c r="V39" s="809"/>
      <c r="W39" s="794"/>
      <c r="X39" s="794"/>
      <c r="Y39" s="813">
        <v>28</v>
      </c>
      <c r="Z39" s="814">
        <f>Z38*(1+(Solarwärme!$D$34/100))</f>
        <v>9403.4704572041228</v>
      </c>
      <c r="AA39" s="807">
        <f t="shared" si="6"/>
        <v>8061.6467231555953</v>
      </c>
      <c r="AB39" s="807">
        <f t="shared" si="7"/>
        <v>18624.534645094987</v>
      </c>
      <c r="AC39" s="794">
        <v>27</v>
      </c>
      <c r="AD39" s="820">
        <f>Solarwärme!$H$38</f>
        <v>5940</v>
      </c>
      <c r="AE39" s="821">
        <f>Solarwärme!$H$38</f>
        <v>5940</v>
      </c>
      <c r="AF39" s="807">
        <f>($AE$13/Solarwärme!$G$31)*(Solarwärme!$D$33*((1+(Solarwärme!$D$34/100))^(AC39-1)))</f>
        <v>1448.3264140062261</v>
      </c>
      <c r="AG39" s="807">
        <f>($AE$13/Solarwärme!$G$31)*(Solarwärme!$D$33*((1+((Solarwärme!$D$34-2)/100))^($AC39-1)))</f>
        <v>880.54508113789893</v>
      </c>
      <c r="AH39" s="807">
        <f>($AE$13/Solarwärme!$G$31)*(Solarwärme!$D$33*((1+((Solarwärme!$D$34+2)/100))^($AC39-1)))</f>
        <v>2360.0574301206002</v>
      </c>
      <c r="AI39" s="807">
        <f>Solarwärme!$D$38*50*((1+($AI$12/100))^(AC39-1))</f>
        <v>0</v>
      </c>
      <c r="AJ39" s="807">
        <f>Solarwärme!$G$71*(Solarwärme!$D$35)*((1+Solarwärme!$L$71)^(AC39-1))</f>
        <v>182.86899089198513</v>
      </c>
      <c r="AK39" s="807">
        <f t="shared" si="11"/>
        <v>1265.457423114241</v>
      </c>
      <c r="AL39" s="807">
        <f t="shared" si="12"/>
        <v>697.67609024591377</v>
      </c>
      <c r="AM39" s="807">
        <f t="shared" si="13"/>
        <v>2177.1884392286152</v>
      </c>
      <c r="AN39" s="794">
        <v>27</v>
      </c>
      <c r="AO39" s="822">
        <f t="shared" si="8"/>
        <v>9582.7109110464662</v>
      </c>
      <c r="AP39" s="822">
        <f t="shared" si="9"/>
        <v>1265.457423114241</v>
      </c>
      <c r="AQ39" s="794"/>
      <c r="AR39" s="794"/>
      <c r="AS39" s="809">
        <f t="shared" si="10"/>
        <v>35.553882991979279</v>
      </c>
      <c r="AT39" s="794">
        <v>1998</v>
      </c>
      <c r="AU39" s="794">
        <v>2.2000000000000002</v>
      </c>
      <c r="AV39" s="809">
        <f t="shared" si="0"/>
        <v>21.78</v>
      </c>
      <c r="AW39" s="794">
        <v>3.15</v>
      </c>
      <c r="AX39" s="809">
        <f t="shared" si="1"/>
        <v>34.964999999999996</v>
      </c>
      <c r="AY39" s="794">
        <v>15.4</v>
      </c>
      <c r="AZ39" s="794"/>
      <c r="BA39" s="810">
        <f t="shared" si="2"/>
        <v>7.0074714888885614E-2</v>
      </c>
      <c r="BB39" s="811">
        <f t="shared" si="3"/>
        <v>9.2681469370723857E-2</v>
      </c>
      <c r="BC39" s="811">
        <f t="shared" si="4"/>
        <v>9.3070181424064868E-2</v>
      </c>
      <c r="BD39" s="811">
        <f t="shared" si="5"/>
        <v>8.0042527123963758E-2</v>
      </c>
      <c r="BE39" s="282"/>
      <c r="BF39" s="282"/>
      <c r="BG39" s="282"/>
    </row>
    <row r="40" spans="1:59" ht="18" customHeight="1">
      <c r="A40" s="491" t="s">
        <v>202</v>
      </c>
      <c r="B40" s="490"/>
      <c r="C40" s="484"/>
      <c r="D40" s="489">
        <f>D35-J38-D36-IF(J38=0,D39,0)</f>
        <v>7700</v>
      </c>
      <c r="E40" s="488" t="s">
        <v>192</v>
      </c>
      <c r="F40" s="487"/>
      <c r="I40" s="486"/>
      <c r="J40" s="485">
        <f>AE54</f>
        <v>7.6032753825082313</v>
      </c>
      <c r="K40" s="484" t="s">
        <v>201</v>
      </c>
      <c r="L40" s="484"/>
      <c r="M40" s="483"/>
      <c r="O40" s="842"/>
      <c r="P40" s="843"/>
      <c r="Q40" s="843"/>
      <c r="R40" s="847" t="s">
        <v>200</v>
      </c>
      <c r="S40" s="847" t="s">
        <v>200</v>
      </c>
      <c r="T40" s="847" t="s">
        <v>199</v>
      </c>
      <c r="U40" s="848"/>
      <c r="V40" s="809"/>
      <c r="W40" s="794"/>
      <c r="X40" s="794"/>
      <c r="Y40" s="813">
        <v>29</v>
      </c>
      <c r="Z40" s="814">
        <f>Z39*(1+(Solarwärme!$D$34/100))</f>
        <v>9920.6613323503498</v>
      </c>
      <c r="AA40" s="807">
        <f t="shared" si="6"/>
        <v>8498.1493495182149</v>
      </c>
      <c r="AB40" s="807">
        <f t="shared" si="7"/>
        <v>20047.04662792712</v>
      </c>
      <c r="AC40" s="794">
        <v>28</v>
      </c>
      <c r="AD40" s="820">
        <f>Solarwärme!$H$38</f>
        <v>5940</v>
      </c>
      <c r="AE40" s="821">
        <f>Solarwärme!$H$38</f>
        <v>5940</v>
      </c>
      <c r="AF40" s="807">
        <f>($AE$13/Solarwärme!$G$31)*(Solarwärme!$D$33*((1+(Solarwärme!$D$34/100))^(AC40-1)))</f>
        <v>1527.9843667765683</v>
      </c>
      <c r="AG40" s="807">
        <f>($AE$13/Solarwärme!$G$31)*(Solarwärme!$D$33*((1+((Solarwärme!$D$34-2)/100))^($AC40-1)))</f>
        <v>911.36415897772554</v>
      </c>
      <c r="AH40" s="807">
        <f>($AE$13/Solarwärme!$G$31)*(Solarwärme!$D$33*((1+((Solarwärme!$D$34+2)/100))^($AC40-1)))</f>
        <v>2537.0617373796454</v>
      </c>
      <c r="AI40" s="807">
        <f>Solarwärme!$D$38*50*((1+($AI$12/100))^(AC40-1))</f>
        <v>0</v>
      </c>
      <c r="AJ40" s="807">
        <f>Solarwärme!$G$71*(Solarwärme!$D$35)*((1+Solarwärme!$L$71)^(AC40-1))</f>
        <v>186.16063272804087</v>
      </c>
      <c r="AK40" s="807">
        <f t="shared" si="11"/>
        <v>1341.8237340485275</v>
      </c>
      <c r="AL40" s="807">
        <f t="shared" si="12"/>
        <v>725.20352624968473</v>
      </c>
      <c r="AM40" s="807">
        <f t="shared" si="13"/>
        <v>2350.9011046516043</v>
      </c>
      <c r="AN40" s="794">
        <v>28</v>
      </c>
      <c r="AO40" s="822">
        <f t="shared" si="8"/>
        <v>10924.534645094995</v>
      </c>
      <c r="AP40" s="822">
        <f t="shared" si="9"/>
        <v>1341.8237340485275</v>
      </c>
      <c r="AQ40" s="794"/>
      <c r="AR40" s="794"/>
      <c r="AS40" s="809">
        <f t="shared" si="10"/>
        <v>37.512718124068179</v>
      </c>
      <c r="AT40" s="794">
        <v>1999</v>
      </c>
      <c r="AU40" s="794">
        <v>2.7</v>
      </c>
      <c r="AV40" s="809">
        <f t="shared" si="0"/>
        <v>26.730000000000004</v>
      </c>
      <c r="AW40" s="794">
        <v>3</v>
      </c>
      <c r="AX40" s="809">
        <f t="shared" si="1"/>
        <v>33.299999999999997</v>
      </c>
      <c r="AY40" s="794">
        <v>16.2</v>
      </c>
      <c r="AZ40" s="794"/>
      <c r="BA40" s="810">
        <f t="shared" si="2"/>
        <v>6.0341200642132442E-2</v>
      </c>
      <c r="BB40" s="811">
        <f t="shared" si="3"/>
        <v>8.296145816885625E-2</v>
      </c>
      <c r="BC40" s="811">
        <f t="shared" si="4"/>
        <v>8.257242510868501E-2</v>
      </c>
      <c r="BD40" s="811">
        <f t="shared" si="5"/>
        <v>6.7567591189220622E-2</v>
      </c>
      <c r="BE40" s="282"/>
      <c r="BF40" s="282"/>
      <c r="BG40" s="282"/>
    </row>
    <row r="41" spans="1:59" ht="17.25" customHeight="1">
      <c r="A41" s="482"/>
      <c r="B41" s="481"/>
      <c r="C41" s="479"/>
      <c r="D41" s="479"/>
      <c r="E41" s="479"/>
      <c r="F41" s="479"/>
      <c r="G41" s="479"/>
      <c r="M41" s="11"/>
      <c r="N41" s="849"/>
      <c r="O41" s="850">
        <f>IF($A$26=P41,1,0)*O37</f>
        <v>0</v>
      </c>
      <c r="P41" s="842" t="str">
        <f>O12</f>
        <v>bis 40m² Basisiförderung</v>
      </c>
      <c r="Q41" s="851" t="s">
        <v>198</v>
      </c>
      <c r="R41" s="845">
        <f>IF(AND($T$27&gt;=3,$V$27&lt;=10),500,0)*$R$39*$O$41</f>
        <v>0</v>
      </c>
      <c r="S41" s="845"/>
      <c r="T41" s="852"/>
      <c r="U41" s="848"/>
      <c r="V41" s="809"/>
      <c r="W41" s="794"/>
      <c r="X41" s="794"/>
      <c r="Y41" s="813">
        <v>30</v>
      </c>
      <c r="Z41" s="814">
        <f>Z40*(1+(Solarwärme!$D$34/100))</f>
        <v>10466.297705629619</v>
      </c>
      <c r="AA41" s="807">
        <f t="shared" si="6"/>
        <v>8958.5356373493833</v>
      </c>
      <c r="AB41" s="807">
        <f t="shared" si="7"/>
        <v>21554.808696207358</v>
      </c>
      <c r="AC41" s="794">
        <v>29</v>
      </c>
      <c r="AD41" s="820">
        <f>Solarwärme!$H$38</f>
        <v>5940</v>
      </c>
      <c r="AE41" s="821">
        <f>Solarwärme!$H$38</f>
        <v>5940</v>
      </c>
      <c r="AF41" s="807">
        <f>($AE$13/Solarwärme!$G$31)*(Solarwärme!$D$33*((1+(Solarwärme!$D$34/100))^(AC41-1)))</f>
        <v>1612.0235069492796</v>
      </c>
      <c r="AG41" s="807">
        <f>($AE$13/Solarwärme!$G$31)*(Solarwärme!$D$33*((1+((Solarwärme!$D$34-2)/100))^($AC41-1)))</f>
        <v>943.2619045419458</v>
      </c>
      <c r="AH41" s="807">
        <f>($AE$13/Solarwärme!$G$31)*(Solarwärme!$D$33*((1+((Solarwärme!$D$34+2)/100))^($AC41-1)))</f>
        <v>2727.3413676831187</v>
      </c>
      <c r="AI41" s="807">
        <f>Solarwärme!$D$38*50*((1+($AI$12/100))^(AC41-1))</f>
        <v>0</v>
      </c>
      <c r="AJ41" s="807">
        <f>Solarwärme!$G$71*(Solarwärme!$D$35)*((1+Solarwärme!$L$71)^(AC41-1))</f>
        <v>189.51152411714557</v>
      </c>
      <c r="AK41" s="807">
        <f t="shared" si="11"/>
        <v>1422.511982832134</v>
      </c>
      <c r="AL41" s="807">
        <f t="shared" si="12"/>
        <v>753.75038042480026</v>
      </c>
      <c r="AM41" s="807">
        <f t="shared" si="13"/>
        <v>2537.8298435659731</v>
      </c>
      <c r="AN41" s="794">
        <v>29</v>
      </c>
      <c r="AO41" s="822">
        <f t="shared" si="8"/>
        <v>12347.046627927128</v>
      </c>
      <c r="AP41" s="822">
        <f t="shared" si="9"/>
        <v>1422.511982832134</v>
      </c>
      <c r="AQ41" s="794"/>
      <c r="AR41" s="794"/>
      <c r="AS41" s="809">
        <f t="shared" si="10"/>
        <v>39.579474944361188</v>
      </c>
      <c r="AT41" s="794">
        <v>2000</v>
      </c>
      <c r="AU41" s="794">
        <v>3.5</v>
      </c>
      <c r="AV41" s="853">
        <v>35.299999999999997</v>
      </c>
      <c r="AW41" s="794">
        <v>3.55</v>
      </c>
      <c r="AX41" s="809">
        <f t="shared" si="1"/>
        <v>39.404999999999994</v>
      </c>
      <c r="AY41" s="794">
        <v>15</v>
      </c>
      <c r="AZ41" s="794"/>
      <c r="BA41" s="810">
        <f t="shared" si="2"/>
        <v>4.3845787958151305E-2</v>
      </c>
      <c r="BB41" s="811">
        <f t="shared" si="3"/>
        <v>6.5203958859255451E-2</v>
      </c>
      <c r="BC41" s="811">
        <f t="shared" si="4"/>
        <v>6.3187344365861486E-2</v>
      </c>
      <c r="BD41" s="811">
        <f t="shared" si="5"/>
        <v>4.5098789285006768E-2</v>
      </c>
      <c r="BE41" s="282"/>
      <c r="BF41" s="282"/>
      <c r="BG41" s="282"/>
    </row>
    <row r="42" spans="1:59" ht="22.5" customHeight="1">
      <c r="A42" s="735" t="str">
        <f>VLOOKUP(1,O30:P32,2,0)</f>
        <v>Ausgaben Brennstoff in 25 Jahren</v>
      </c>
      <c r="B42" s="735"/>
      <c r="C42" s="735"/>
      <c r="D42" s="480"/>
      <c r="E42" s="480"/>
      <c r="G42" s="479"/>
      <c r="H42" s="724" t="s">
        <v>197</v>
      </c>
      <c r="I42" s="724"/>
      <c r="J42" s="724"/>
      <c r="K42" s="478"/>
      <c r="L42" s="478"/>
      <c r="N42" s="849"/>
      <c r="O42" s="843"/>
      <c r="P42" s="843"/>
      <c r="Q42" s="851" t="s">
        <v>196</v>
      </c>
      <c r="R42" s="845">
        <f>IF(AND($T$27&gt;=11,$V$27&lt;=40),50,0)*$R$39*$O$41</f>
        <v>0</v>
      </c>
      <c r="S42" s="845"/>
      <c r="T42" s="852"/>
      <c r="U42" s="848"/>
      <c r="V42" s="809"/>
      <c r="W42" s="794"/>
      <c r="X42" s="794"/>
      <c r="Y42" s="794">
        <f>20*O30</f>
        <v>0</v>
      </c>
      <c r="Z42" s="854">
        <f>SUM(Z12:Z31)*O30</f>
        <v>0</v>
      </c>
      <c r="AA42" s="794"/>
      <c r="AB42" s="794"/>
      <c r="AC42" s="794">
        <v>30</v>
      </c>
      <c r="AD42" s="820">
        <f>Solarwärme!$H$38</f>
        <v>5940</v>
      </c>
      <c r="AE42" s="821">
        <f>Solarwärme!$H$38</f>
        <v>5940</v>
      </c>
      <c r="AF42" s="807">
        <f>($AE$13/Solarwärme!$G$31)*(Solarwärme!$D$33*((1+(Solarwärme!$D$34/100))^(AC42-1)))</f>
        <v>1700.6847998314897</v>
      </c>
      <c r="AG42" s="807">
        <f>($AE$13/Solarwärme!$G$31)*(Solarwärme!$D$33*((1+((Solarwärme!$D$34-2)/100))^($AC42-1)))</f>
        <v>976.27607120091363</v>
      </c>
      <c r="AH42" s="807">
        <f>($AE$13/Solarwärme!$G$31)*(Solarwärme!$D$33*((1+((Solarwärme!$D$34+2)/100))^($AC42-1)))</f>
        <v>2931.8919702593535</v>
      </c>
      <c r="AI42" s="807">
        <f>Solarwärme!$D$38*50*((1+($AI$12/100))^(AC42-1))</f>
        <v>0</v>
      </c>
      <c r="AJ42" s="807">
        <f>Solarwärme!$G$71*(Solarwärme!$D$35)*((1+Solarwärme!$L$71)^(AC42-1))</f>
        <v>192.92273155125423</v>
      </c>
      <c r="AK42" s="807">
        <f t="shared" si="11"/>
        <v>1507.7620682802356</v>
      </c>
      <c r="AL42" s="807">
        <f t="shared" si="12"/>
        <v>783.35333964965935</v>
      </c>
      <c r="AM42" s="807">
        <f t="shared" si="13"/>
        <v>2738.9692387080991</v>
      </c>
      <c r="AN42" s="794">
        <v>30</v>
      </c>
      <c r="AO42" s="822">
        <f t="shared" si="8"/>
        <v>13854.808696207363</v>
      </c>
      <c r="AP42" s="822">
        <f t="shared" si="9"/>
        <v>1507.7620682802356</v>
      </c>
      <c r="AQ42" s="794"/>
      <c r="AR42" s="794"/>
      <c r="AS42" s="809">
        <f t="shared" si="10"/>
        <v>41.760099379901391</v>
      </c>
      <c r="AT42" s="794">
        <v>2001</v>
      </c>
      <c r="AU42" s="794">
        <v>3.75</v>
      </c>
      <c r="AV42" s="855">
        <v>32.060557410408883</v>
      </c>
      <c r="AW42" s="794">
        <v>4.4000000000000004</v>
      </c>
      <c r="AX42" s="809">
        <f t="shared" si="1"/>
        <v>48.84</v>
      </c>
      <c r="AY42" s="794">
        <v>15.5</v>
      </c>
      <c r="AZ42" s="794"/>
      <c r="BA42" s="810">
        <f t="shared" si="2"/>
        <v>5.5080441338225983E-2</v>
      </c>
      <c r="BB42" s="811">
        <f t="shared" si="3"/>
        <v>8.0754346403053123E-2</v>
      </c>
      <c r="BC42" s="811">
        <f t="shared" si="4"/>
        <v>8.0068106310915432E-2</v>
      </c>
      <c r="BD42" s="811">
        <f t="shared" si="5"/>
        <v>6.1526369459290686E-2</v>
      </c>
      <c r="BE42" s="282"/>
      <c r="BF42" s="282"/>
      <c r="BG42" s="282"/>
    </row>
    <row r="43" spans="1:59" ht="21" customHeight="1">
      <c r="A43" s="727" t="s">
        <v>195</v>
      </c>
      <c r="B43" s="727"/>
      <c r="C43" s="727"/>
      <c r="D43" s="477">
        <f>D44-K43</f>
        <v>98504.491267863268</v>
      </c>
      <c r="E43" s="476" t="s">
        <v>192</v>
      </c>
      <c r="F43" s="475"/>
      <c r="G43" s="474"/>
      <c r="I43" s="470"/>
      <c r="J43" s="473" t="s">
        <v>194</v>
      </c>
      <c r="K43" s="733">
        <f>Solarwärme!AK49</f>
        <v>14824.067793403137</v>
      </c>
      <c r="L43" s="734"/>
      <c r="N43" s="849"/>
      <c r="O43" s="850">
        <f>IF($A$26=P43,1,0)*O37</f>
        <v>0</v>
      </c>
      <c r="P43" s="856" t="str">
        <f>O13</f>
        <v>20 bis 100m² Innovationsförderung</v>
      </c>
      <c r="Q43" s="845" t="s">
        <v>188</v>
      </c>
      <c r="R43" s="845"/>
      <c r="S43" s="845">
        <f>IF(AND($V$27&gt;=20,$V$27&lt;=100),150,0)*$S$39*$O$43</f>
        <v>0</v>
      </c>
      <c r="T43" s="845">
        <f>IF(AND($V$27&gt;=20,$V$27&lt;=100),75,0)*$T$39*$O$43</f>
        <v>0</v>
      </c>
      <c r="U43" s="857"/>
      <c r="V43" s="794"/>
      <c r="W43" s="794"/>
      <c r="X43" s="794"/>
      <c r="Y43" s="794">
        <f>25*O31</f>
        <v>25</v>
      </c>
      <c r="Z43" s="854">
        <f>SUM(Z12:Z36)*O31</f>
        <v>113328.55906126641</v>
      </c>
      <c r="AA43" s="794"/>
      <c r="AB43" s="794"/>
      <c r="AC43" s="794"/>
      <c r="AD43" s="794">
        <v>20</v>
      </c>
      <c r="AE43" s="820">
        <f t="shared" ref="AE43:AJ43" si="14">SUM(AE13:AE32)</f>
        <v>118800</v>
      </c>
      <c r="AF43" s="807">
        <f t="shared" si="14"/>
        <v>12552.594483954048</v>
      </c>
      <c r="AG43" s="807">
        <f t="shared" si="14"/>
        <v>10180.685452791549</v>
      </c>
      <c r="AH43" s="807">
        <f t="shared" si="14"/>
        <v>15589.685281147737</v>
      </c>
      <c r="AI43" s="807">
        <f t="shared" si="14"/>
        <v>0</v>
      </c>
      <c r="AJ43" s="807">
        <f t="shared" si="14"/>
        <v>2739.2217474676336</v>
      </c>
      <c r="AK43" s="858">
        <f>SUM(AK13:AK32)*O30</f>
        <v>0</v>
      </c>
      <c r="AL43" s="807">
        <f>SUM(AL13:AL32)</f>
        <v>7441.4637053239167</v>
      </c>
      <c r="AM43" s="807">
        <f>SUM(AM13:AM32)</f>
        <v>12850.463533680102</v>
      </c>
      <c r="AN43" s="794">
        <v>20</v>
      </c>
      <c r="AO43" s="794"/>
      <c r="AP43" s="839">
        <f>IRR(AP12:AP32)</f>
        <v>1.9973258479462411E-2</v>
      </c>
      <c r="AQ43" s="794"/>
      <c r="AR43" s="794"/>
      <c r="AS43" s="809">
        <f t="shared" si="10"/>
        <v>44.060864947570288</v>
      </c>
      <c r="AT43" s="794">
        <v>2002</v>
      </c>
      <c r="AU43" s="794">
        <v>3.6</v>
      </c>
      <c r="AV43" s="855">
        <v>30.270833333333329</v>
      </c>
      <c r="AW43" s="794">
        <v>4.2</v>
      </c>
      <c r="AX43" s="809">
        <f t="shared" si="1"/>
        <v>46.62</v>
      </c>
      <c r="AY43" s="794">
        <v>16.100000000000001</v>
      </c>
      <c r="AZ43" s="794"/>
      <c r="BA43" s="810">
        <f t="shared" si="2"/>
        <v>6.4890438743472556E-2</v>
      </c>
      <c r="BB43" s="811">
        <f t="shared" si="3"/>
        <v>9.5454538639972109E-2</v>
      </c>
      <c r="BC43" s="811">
        <f t="shared" si="4"/>
        <v>9.6326192506680064E-2</v>
      </c>
      <c r="BD43" s="811">
        <f t="shared" si="5"/>
        <v>7.7185433275057003E-2</v>
      </c>
      <c r="BE43" s="282"/>
      <c r="BF43" s="282"/>
      <c r="BG43" s="282"/>
    </row>
    <row r="44" spans="1:59" ht="21" customHeight="1">
      <c r="A44" s="728" t="s">
        <v>193</v>
      </c>
      <c r="B44" s="728"/>
      <c r="C44" s="728"/>
      <c r="D44" s="472">
        <f>Solarwärme!Z45</f>
        <v>113328.55906126641</v>
      </c>
      <c r="E44" s="471" t="s">
        <v>192</v>
      </c>
      <c r="I44" s="470"/>
      <c r="J44" s="469" t="s">
        <v>191</v>
      </c>
      <c r="K44" s="729">
        <f>Solarwärme!AP55</f>
        <v>3.6169250623989901E-2</v>
      </c>
      <c r="L44" s="730"/>
      <c r="N44" s="849"/>
      <c r="O44" s="843">
        <f>IF($A$26=P44,1,0)*O38</f>
        <v>1</v>
      </c>
      <c r="P44" s="842" t="str">
        <f>O12</f>
        <v>bis 40m² Basisiförderung</v>
      </c>
      <c r="Q44" s="851" t="s">
        <v>190</v>
      </c>
      <c r="R44" s="845">
        <f>IF(AND($T$27&gt;=9,$V$27&lt;=14),2000,0)*$R$39*$O$44</f>
        <v>2000</v>
      </c>
      <c r="S44" s="845"/>
      <c r="T44" s="845"/>
      <c r="U44" s="857"/>
      <c r="V44" s="794"/>
      <c r="W44" s="794"/>
      <c r="X44" s="794"/>
      <c r="Y44" s="794">
        <f>30*O32</f>
        <v>0</v>
      </c>
      <c r="Z44" s="854">
        <f>SUM(Z12:Z41)*O32</f>
        <v>0</v>
      </c>
      <c r="AA44" s="794"/>
      <c r="AB44" s="794"/>
      <c r="AC44" s="794"/>
      <c r="AD44" s="794">
        <v>20</v>
      </c>
      <c r="AE44" s="794"/>
      <c r="AF44" s="794"/>
      <c r="AG44" s="794"/>
      <c r="AH44" s="794"/>
      <c r="AI44" s="859">
        <f>SUM(AF43:AI43)</f>
        <v>38322.965217893332</v>
      </c>
      <c r="AJ44" s="794"/>
      <c r="AK44" s="794"/>
      <c r="AL44" s="794"/>
      <c r="AM44" s="794"/>
      <c r="AN44" s="794">
        <v>20</v>
      </c>
      <c r="AO44" s="860" t="s">
        <v>185</v>
      </c>
      <c r="AP44" s="840">
        <f>MIRR(AP12:AP32,AP43,0.025)*O30</f>
        <v>0</v>
      </c>
      <c r="AQ44" s="794"/>
      <c r="AR44" s="794"/>
      <c r="AS44" s="809">
        <f t="shared" si="10"/>
        <v>46.488390802594218</v>
      </c>
      <c r="AT44" s="794">
        <v>2003</v>
      </c>
      <c r="AU44" s="794">
        <v>3.7</v>
      </c>
      <c r="AV44" s="855">
        <v>30.749166666666667</v>
      </c>
      <c r="AW44" s="794">
        <v>4.8</v>
      </c>
      <c r="AX44" s="809">
        <f t="shared" si="1"/>
        <v>53.279999999999994</v>
      </c>
      <c r="AY44" s="794">
        <v>17.2</v>
      </c>
      <c r="AZ44" s="794"/>
      <c r="BA44" s="810">
        <f t="shared" si="2"/>
        <v>6.9468989568529871E-2</v>
      </c>
      <c r="BB44" s="811">
        <f t="shared" si="3"/>
        <v>0.10468175101716137</v>
      </c>
      <c r="BC44" s="811">
        <f t="shared" si="4"/>
        <v>0.10683056109504707</v>
      </c>
      <c r="BD44" s="811">
        <f t="shared" si="5"/>
        <v>8.6252242121374501E-2</v>
      </c>
      <c r="BE44" s="282"/>
      <c r="BF44" s="282"/>
      <c r="BG44" s="282"/>
    </row>
    <row r="45" spans="1:59" ht="21" customHeight="1">
      <c r="F45" s="463"/>
      <c r="G45" s="463"/>
      <c r="H45" s="468"/>
      <c r="I45" s="467"/>
      <c r="J45" s="466"/>
      <c r="K45" s="465"/>
      <c r="L45" s="464"/>
      <c r="N45" s="849"/>
      <c r="O45" s="842"/>
      <c r="P45" s="843"/>
      <c r="Q45" s="845" t="s">
        <v>189</v>
      </c>
      <c r="R45" s="845">
        <f>IF(AND($T$27&gt;=15,$V$27&lt;=40),140,0)*$R$39*$O$44</f>
        <v>0</v>
      </c>
      <c r="S45" s="845"/>
      <c r="T45" s="845"/>
      <c r="U45" s="857"/>
      <c r="V45" s="794"/>
      <c r="W45" s="794"/>
      <c r="X45" s="794"/>
      <c r="Y45" s="794">
        <f>Y44+Y43+Y42</f>
        <v>25</v>
      </c>
      <c r="Z45" s="854">
        <f>SUM(Z42:Z44)</f>
        <v>113328.55906126641</v>
      </c>
      <c r="AA45" s="794"/>
      <c r="AB45" s="794"/>
      <c r="AC45" s="794"/>
      <c r="AD45" s="794">
        <v>25</v>
      </c>
      <c r="AE45" s="820">
        <f t="shared" ref="AE45:AJ45" si="15">SUM(AE13:AE37)</f>
        <v>148500</v>
      </c>
      <c r="AF45" s="807">
        <f t="shared" si="15"/>
        <v>18414.931736427865</v>
      </c>
      <c r="AG45" s="807">
        <f t="shared" si="15"/>
        <v>14021.948409603872</v>
      </c>
      <c r="AH45" s="807">
        <f t="shared" si="15"/>
        <v>24472.030141030718</v>
      </c>
      <c r="AI45" s="807">
        <f t="shared" si="15"/>
        <v>0</v>
      </c>
      <c r="AJ45" s="807">
        <f t="shared" si="15"/>
        <v>3590.8639430247249</v>
      </c>
      <c r="AK45" s="807">
        <f>SUM(AK13:AK37)*O31</f>
        <v>14824.067793403137</v>
      </c>
      <c r="AL45" s="839">
        <f>IRR(AL12:AL32)</f>
        <v>-2.8704740727404894E-3</v>
      </c>
      <c r="AM45" s="839">
        <f>IRR(AM12:AM32)</f>
        <v>4.1520710449607853E-2</v>
      </c>
      <c r="AN45" s="794">
        <v>20</v>
      </c>
      <c r="AO45" s="794"/>
      <c r="AP45" s="794"/>
      <c r="AQ45" s="794"/>
      <c r="AR45" s="794"/>
      <c r="AS45" s="809">
        <f t="shared" si="10"/>
        <v>49.049660781430099</v>
      </c>
      <c r="AT45" s="794">
        <v>2004</v>
      </c>
      <c r="AU45" s="794">
        <v>4.0999999999999996</v>
      </c>
      <c r="AV45" s="855">
        <v>34.406666666666666</v>
      </c>
      <c r="AW45" s="794">
        <v>4.7</v>
      </c>
      <c r="AX45" s="809">
        <f t="shared" si="1"/>
        <v>52.17</v>
      </c>
      <c r="AY45" s="794">
        <v>17.8</v>
      </c>
      <c r="AZ45" s="794"/>
      <c r="BA45" s="810">
        <f t="shared" si="2"/>
        <v>6.4643215593719328E-2</v>
      </c>
      <c r="BB45" s="811">
        <f t="shared" si="3"/>
        <v>0.10291151476974458</v>
      </c>
      <c r="BC45" s="811">
        <f t="shared" si="4"/>
        <v>0.10511048186536698</v>
      </c>
      <c r="BD45" s="811">
        <f t="shared" si="5"/>
        <v>8.0896868410667233E-2</v>
      </c>
      <c r="BE45" s="282"/>
      <c r="BF45" s="282"/>
      <c r="BG45" s="282"/>
    </row>
    <row r="46" spans="1:59" ht="33" customHeight="1">
      <c r="A46" s="731" t="str">
        <f>"Einsparung CO2 in "&amp;Y45&amp;" Jahren "&amp;X25&amp;" kg"</f>
        <v>Einsparung CO2 in 25 Jahren 42000 kg</v>
      </c>
      <c r="B46" s="732"/>
      <c r="C46" s="732"/>
      <c r="D46" s="732"/>
      <c r="E46" s="732"/>
      <c r="F46" s="732"/>
      <c r="G46" s="732"/>
      <c r="H46" s="732"/>
      <c r="I46" s="732"/>
      <c r="J46" s="732"/>
      <c r="K46" s="732"/>
      <c r="L46" s="732"/>
      <c r="N46" s="849"/>
      <c r="O46" s="843">
        <f>IF($A$26=P46,1,0)*O38</f>
        <v>0</v>
      </c>
      <c r="P46" s="842" t="str">
        <f>O13</f>
        <v>20 bis 100m² Innovationsförderung</v>
      </c>
      <c r="Q46" s="851" t="s">
        <v>188</v>
      </c>
      <c r="R46" s="845"/>
      <c r="S46" s="845">
        <f>IF(AND($V$27&gt;=20,$V$27&lt;=100),200,0)*$S$39*$O$46</f>
        <v>0</v>
      </c>
      <c r="T46" s="845">
        <f>IF(AND($V$27&gt;=20,$V$27&lt;=100),150,0)*$T$39*$O$46</f>
        <v>0</v>
      </c>
      <c r="U46" s="861"/>
      <c r="V46" s="794"/>
      <c r="W46" s="794"/>
      <c r="X46" s="794"/>
      <c r="Y46" s="794"/>
      <c r="Z46" s="794"/>
      <c r="AA46" s="794"/>
      <c r="AB46" s="794"/>
      <c r="AC46" s="794"/>
      <c r="AD46" s="794">
        <v>25</v>
      </c>
      <c r="AE46" s="794"/>
      <c r="AF46" s="794"/>
      <c r="AG46" s="794"/>
      <c r="AH46" s="794"/>
      <c r="AI46" s="859">
        <f>SUM(AF45:AI45)</f>
        <v>56908.910287062456</v>
      </c>
      <c r="AJ46" s="794"/>
      <c r="AK46" s="794"/>
      <c r="AL46" s="840">
        <f>MIRR(AL12:AL32,AL45,0.025)</f>
        <v>8.9079624676229319E-3</v>
      </c>
      <c r="AM46" s="840">
        <f>MIRR(AM12:AM32,AM45,0.025)</f>
        <v>3.5058309184536007E-2</v>
      </c>
      <c r="AN46" s="794">
        <v>20</v>
      </c>
      <c r="AO46" s="794"/>
      <c r="AP46" s="794"/>
      <c r="AQ46" s="794"/>
      <c r="AR46" s="794"/>
      <c r="AS46" s="809">
        <f t="shared" si="10"/>
        <v>51.75204349381579</v>
      </c>
      <c r="AT46" s="794">
        <v>2005</v>
      </c>
      <c r="AU46" s="794">
        <v>5.3</v>
      </c>
      <c r="AV46" s="855">
        <v>45.105833333333329</v>
      </c>
      <c r="AW46" s="794">
        <v>5.2</v>
      </c>
      <c r="AX46" s="809">
        <f t="shared" si="1"/>
        <v>57.72</v>
      </c>
      <c r="AY46" s="794">
        <v>18</v>
      </c>
      <c r="AZ46" s="794"/>
      <c r="BA46" s="810">
        <f t="shared" si="2"/>
        <v>4.030623116887333E-2</v>
      </c>
      <c r="BB46" s="811">
        <f t="shared" si="3"/>
        <v>7.6017469664829473E-2</v>
      </c>
      <c r="BC46" s="811">
        <f t="shared" si="4"/>
        <v>7.409236476865666E-2</v>
      </c>
      <c r="BD46" s="811">
        <f t="shared" si="5"/>
        <v>3.9975451988559785E-2</v>
      </c>
      <c r="BE46" s="282"/>
      <c r="BF46" s="282"/>
      <c r="BG46" s="282"/>
    </row>
    <row r="47" spans="1:59" ht="18.75" customHeight="1">
      <c r="A47" s="463"/>
      <c r="E47" s="463"/>
      <c r="F47" s="463"/>
      <c r="G47" s="463"/>
      <c r="N47" s="849"/>
      <c r="O47" s="843">
        <f>IF($A$26=P47,1,0)</f>
        <v>0</v>
      </c>
      <c r="P47" s="842" t="str">
        <f>O14</f>
        <v>20 bis 100m² Ertrags-Innovationsförderung</v>
      </c>
      <c r="Q47" s="851" t="s">
        <v>188</v>
      </c>
      <c r="R47" s="845"/>
      <c r="S47" s="845">
        <f>IF(AND($V$27&gt;=20,$V$27&lt;=100),0.45,0)*$S$39*$O$47</f>
        <v>0</v>
      </c>
      <c r="T47" s="845">
        <f>IF(AND($V$27&gt;=20,$V$27&lt;=100),0.45,0)*$T$39*$O$47</f>
        <v>0</v>
      </c>
      <c r="U47" s="862"/>
      <c r="V47" s="794"/>
      <c r="W47" s="794"/>
      <c r="X47" s="794"/>
      <c r="Y47" s="794"/>
      <c r="Z47" s="794"/>
      <c r="AA47" s="794"/>
      <c r="AB47" s="794"/>
      <c r="AC47" s="794"/>
      <c r="AD47" s="794">
        <v>30</v>
      </c>
      <c r="AE47" s="820">
        <f t="shared" ref="AE47:AJ47" si="16">SUM(AE13:AE42)</f>
        <v>178200</v>
      </c>
      <c r="AF47" s="807">
        <f t="shared" si="16"/>
        <v>26076.77206949496</v>
      </c>
      <c r="AG47" s="807">
        <f t="shared" si="16"/>
        <v>18584.163819798494</v>
      </c>
      <c r="AH47" s="807">
        <f t="shared" si="16"/>
        <v>37223.784907050736</v>
      </c>
      <c r="AI47" s="807">
        <f t="shared" si="16"/>
        <v>0</v>
      </c>
      <c r="AJ47" s="807">
        <f t="shared" si="16"/>
        <v>4521.9633732875955</v>
      </c>
      <c r="AK47" s="807">
        <f>SUM(AK13:AK42)*O32</f>
        <v>0</v>
      </c>
      <c r="AL47" s="807">
        <f>SUM(AL13:AL37)</f>
        <v>10431.08446657915</v>
      </c>
      <c r="AM47" s="807">
        <f>SUM(AM13:AM37)</f>
        <v>20881.166198005994</v>
      </c>
      <c r="AN47" s="794">
        <v>25</v>
      </c>
      <c r="AO47" s="794"/>
      <c r="AP47" s="839">
        <f>IRR(AP12:AP37)</f>
        <v>4.4342435593912405E-2</v>
      </c>
      <c r="AQ47" s="794"/>
      <c r="AR47" s="794"/>
      <c r="AS47" s="809">
        <f t="shared" si="10"/>
        <v>54.6033135217885</v>
      </c>
      <c r="AT47" s="794">
        <v>2006</v>
      </c>
      <c r="AU47" s="794">
        <v>5.95</v>
      </c>
      <c r="AV47" s="855">
        <v>50.323333333333331</v>
      </c>
      <c r="AW47" s="794">
        <v>6.2</v>
      </c>
      <c r="AX47" s="809">
        <f t="shared" si="1"/>
        <v>68.819999999999993</v>
      </c>
      <c r="AY47" s="794">
        <v>18.5</v>
      </c>
      <c r="AZ47" s="794"/>
      <c r="BA47" s="810">
        <f t="shared" si="2"/>
        <v>3.1250717211287249E-2</v>
      </c>
      <c r="BB47" s="811">
        <f t="shared" si="3"/>
        <v>6.954672242822979E-2</v>
      </c>
      <c r="BC47" s="811">
        <f t="shared" si="4"/>
        <v>6.5964195227160793E-2</v>
      </c>
      <c r="BD47" s="811">
        <f t="shared" si="5"/>
        <v>2.1867737588146419E-2</v>
      </c>
      <c r="BE47" s="282"/>
      <c r="BF47" s="282"/>
      <c r="BG47" s="282"/>
    </row>
    <row r="48" spans="1:59" ht="15.75">
      <c r="A48" s="463"/>
      <c r="E48" s="463"/>
      <c r="F48" s="463"/>
      <c r="G48" s="463"/>
      <c r="H48" s="462"/>
      <c r="I48" s="461"/>
      <c r="J48" s="461"/>
      <c r="K48" s="461"/>
      <c r="L48" s="460"/>
      <c r="N48" s="849"/>
      <c r="O48" s="843">
        <f>IF($A$26=P48,1,0)</f>
        <v>0</v>
      </c>
      <c r="P48" s="842" t="str">
        <f>O15</f>
        <v>Anlagenerweiterung 4 bis 40m²</v>
      </c>
      <c r="Q48" s="851" t="s">
        <v>187</v>
      </c>
      <c r="R48" s="863">
        <f>IF(AND($T$27&gt;=4,$V$27&lt;=40),50,0)*$R$39*$O$48</f>
        <v>0</v>
      </c>
      <c r="S48" s="845"/>
      <c r="T48" s="845"/>
      <c r="U48" s="862"/>
      <c r="V48" s="794"/>
      <c r="W48" s="794"/>
      <c r="X48" s="794"/>
      <c r="Y48" s="794"/>
      <c r="Z48" s="794"/>
      <c r="AA48" s="794"/>
      <c r="AB48" s="794"/>
      <c r="AC48" s="794"/>
      <c r="AD48" s="794">
        <v>30</v>
      </c>
      <c r="AE48" s="794"/>
      <c r="AF48" s="794"/>
      <c r="AG48" s="794"/>
      <c r="AH48" s="794"/>
      <c r="AI48" s="859">
        <f>SUM(AF47:AI47)</f>
        <v>81884.720796344191</v>
      </c>
      <c r="AJ48" s="794"/>
      <c r="AK48" s="794"/>
      <c r="AL48" s="794"/>
      <c r="AM48" s="794"/>
      <c r="AN48" s="794">
        <v>25</v>
      </c>
      <c r="AO48" s="860" t="s">
        <v>185</v>
      </c>
      <c r="AP48" s="840">
        <f>MIRR(AP12:AP37,AP47,0.025)*O31</f>
        <v>3.6169250623989901E-2</v>
      </c>
      <c r="AQ48" s="794"/>
      <c r="AR48" s="794"/>
      <c r="AS48" s="809">
        <f t="shared" si="10"/>
        <v>57.61167378665953</v>
      </c>
      <c r="AT48" s="794">
        <v>2007</v>
      </c>
      <c r="AU48" s="794">
        <v>5.85</v>
      </c>
      <c r="AV48" s="855">
        <v>49.731666666666676</v>
      </c>
      <c r="AW48" s="794">
        <v>6.5</v>
      </c>
      <c r="AX48" s="809">
        <f t="shared" si="1"/>
        <v>72.149999999999991</v>
      </c>
      <c r="AY48" s="794">
        <v>20</v>
      </c>
      <c r="AZ48" s="794"/>
      <c r="BA48" s="810">
        <f t="shared" si="2"/>
        <v>3.754564918562231E-2</v>
      </c>
      <c r="BB48" s="811">
        <f t="shared" si="3"/>
        <v>8.6593219568809943E-2</v>
      </c>
      <c r="BC48" s="811">
        <f t="shared" si="4"/>
        <v>8.633148867282725E-2</v>
      </c>
      <c r="BD48" s="811">
        <f t="shared" si="5"/>
        <v>3.3328432069388514E-2</v>
      </c>
      <c r="BE48" s="282"/>
      <c r="BF48" s="282"/>
      <c r="BG48" s="282"/>
    </row>
    <row r="49" spans="1:59" ht="17.25" customHeight="1">
      <c r="H49" s="459"/>
      <c r="I49" s="459"/>
      <c r="J49" s="458"/>
      <c r="K49" s="457"/>
      <c r="L49" s="456"/>
      <c r="N49" s="849"/>
      <c r="O49" s="812"/>
      <c r="P49" s="812"/>
      <c r="R49" s="837">
        <f>(R41+R44)</f>
        <v>2000</v>
      </c>
      <c r="S49" s="837">
        <f>S47*V32*U27</f>
        <v>0</v>
      </c>
      <c r="T49" s="837">
        <f>T47*V32*U27</f>
        <v>0</v>
      </c>
      <c r="U49" s="819">
        <f>SUM(R49:T49)</f>
        <v>2000</v>
      </c>
      <c r="V49" s="794"/>
      <c r="W49" s="794"/>
      <c r="X49" s="794"/>
      <c r="Y49" s="794"/>
      <c r="Z49" s="794"/>
      <c r="AA49" s="794"/>
      <c r="AB49" s="794"/>
      <c r="AC49" s="794"/>
      <c r="AD49" s="794"/>
      <c r="AF49" s="794"/>
      <c r="AG49" s="794"/>
      <c r="AH49" s="794"/>
      <c r="AI49" s="794"/>
      <c r="AJ49" s="794"/>
      <c r="AK49" s="859">
        <f>SUM(AK43+AK45+AK47)</f>
        <v>14824.067793403137</v>
      </c>
      <c r="AL49" s="839">
        <f>IRR(AL12:AL37)</f>
        <v>2.1106134610398206E-2</v>
      </c>
      <c r="AM49" s="839">
        <f>IRR(AM12:AM37)</f>
        <v>6.6173153739370189E-2</v>
      </c>
      <c r="AN49" s="794">
        <v>25</v>
      </c>
      <c r="AO49" s="794"/>
      <c r="AP49" s="794"/>
      <c r="AQ49" s="794"/>
      <c r="AR49" s="794"/>
      <c r="AS49" s="809">
        <f t="shared" si="10"/>
        <v>60.785779148293663</v>
      </c>
      <c r="AT49" s="794">
        <v>2008</v>
      </c>
      <c r="AU49" s="794">
        <v>7.7</v>
      </c>
      <c r="AV49" s="855">
        <v>64.081666666666663</v>
      </c>
      <c r="AW49" s="794">
        <v>7.0149999999999997</v>
      </c>
      <c r="AX49" s="809">
        <f t="shared" si="1"/>
        <v>77.866499999999988</v>
      </c>
      <c r="AY49" s="794">
        <v>21.5</v>
      </c>
      <c r="AZ49" s="794"/>
      <c r="BA49" s="810">
        <f t="shared" si="2"/>
        <v>7.4850907444612425E-4</v>
      </c>
      <c r="BB49" s="811">
        <f t="shared" si="3"/>
        <v>4.125845817704632E-2</v>
      </c>
      <c r="BC49" s="811">
        <f t="shared" si="4"/>
        <v>2.6241476017841991E-2</v>
      </c>
      <c r="BD49" s="811">
        <f t="shared" si="5"/>
        <v>-7.464755560396874E-2</v>
      </c>
      <c r="BE49" s="282"/>
      <c r="BF49" s="282"/>
      <c r="BG49" s="282"/>
    </row>
    <row r="50" spans="1:59" ht="18" customHeight="1">
      <c r="N50" s="849"/>
      <c r="O50" s="812"/>
      <c r="R50" s="837">
        <f>(R42+R43+R45+R46+R48)*T27</f>
        <v>0</v>
      </c>
      <c r="S50" s="837">
        <f>(S46+S43)*T27</f>
        <v>0</v>
      </c>
      <c r="T50" s="837">
        <f>(T46+T43)*T27</f>
        <v>0</v>
      </c>
      <c r="U50" s="819">
        <f>SUM(R50:T50)</f>
        <v>0</v>
      </c>
      <c r="V50" s="794"/>
      <c r="W50" s="794"/>
      <c r="X50" s="794"/>
      <c r="Y50" s="794"/>
      <c r="Z50" s="794"/>
      <c r="AA50" s="794"/>
      <c r="AB50" s="794"/>
      <c r="AC50" s="794"/>
      <c r="AD50" s="794"/>
      <c r="AE50" s="794" t="s">
        <v>186</v>
      </c>
      <c r="AF50" s="794"/>
      <c r="AG50" s="794"/>
      <c r="AH50" s="794"/>
      <c r="AI50" s="794"/>
      <c r="AJ50" s="794"/>
      <c r="AK50" s="794"/>
      <c r="AL50" s="840">
        <f>MIRR(AL12:AL37,AL49,0.025)</f>
        <v>2.2832097787885308E-2</v>
      </c>
      <c r="AM50" s="840">
        <f>MIRR(AM12:AM37,AM49,0.025)</f>
        <v>4.9496630079762793E-2</v>
      </c>
      <c r="AN50" s="794">
        <v>25</v>
      </c>
      <c r="AO50" s="794"/>
      <c r="AP50" s="794"/>
      <c r="AQ50" s="794"/>
      <c r="AR50" s="794"/>
      <c r="AS50" s="809">
        <f t="shared" si="10"/>
        <v>64.13476130458686</v>
      </c>
      <c r="AT50" s="794">
        <v>2009</v>
      </c>
      <c r="AU50" s="794">
        <v>5.3</v>
      </c>
      <c r="AV50" s="855">
        <v>43.768333333333338</v>
      </c>
      <c r="AW50" s="794">
        <v>6.1849999999999996</v>
      </c>
      <c r="AX50" s="809">
        <f t="shared" si="1"/>
        <v>68.653499999999994</v>
      </c>
      <c r="AY50" s="794">
        <v>22.7</v>
      </c>
      <c r="AZ50" s="794"/>
      <c r="BA50" s="810">
        <f t="shared" si="2"/>
        <v>8.0201310830952499E-2</v>
      </c>
      <c r="BB50" s="811">
        <f t="shared" si="3"/>
        <v>0.19840235200148659</v>
      </c>
      <c r="BC50" s="811">
        <f t="shared" si="4"/>
        <v>0.25794379996136518</v>
      </c>
      <c r="BD50" s="811">
        <f t="shared" si="5"/>
        <v>0.25368417044286207</v>
      </c>
      <c r="BE50" s="282"/>
      <c r="BF50" s="282"/>
      <c r="BG50" s="282"/>
    </row>
    <row r="51" spans="1:59" ht="20.25" customHeight="1">
      <c r="N51" s="849"/>
      <c r="O51" s="812"/>
      <c r="S51" s="794"/>
      <c r="T51" s="794"/>
      <c r="U51" s="819">
        <f>SUM(U49:U50)*P17</f>
        <v>2000</v>
      </c>
      <c r="V51" s="794"/>
      <c r="W51" s="794"/>
      <c r="X51" s="794"/>
      <c r="Y51" s="794"/>
      <c r="Z51" s="794"/>
      <c r="AA51" s="794"/>
      <c r="AB51" s="794"/>
      <c r="AC51" s="794"/>
      <c r="AD51" s="794">
        <v>20</v>
      </c>
      <c r="AE51" s="864">
        <f>((-1*AM12)-AI43+AJ43)/AE43*100*O30</f>
        <v>0</v>
      </c>
      <c r="AF51" s="794"/>
      <c r="AG51" s="794"/>
      <c r="AH51" s="794"/>
      <c r="AI51" s="794"/>
      <c r="AJ51" s="794"/>
      <c r="AK51" s="794"/>
      <c r="AL51" s="807">
        <f>SUM(AL13:AL42)</f>
        <v>14062.200446510897</v>
      </c>
      <c r="AM51" s="807">
        <f>SUM(AM13:AM42)</f>
        <v>32701.821533763145</v>
      </c>
      <c r="AN51" s="794">
        <v>30</v>
      </c>
      <c r="AO51" s="794"/>
      <c r="AP51" s="839">
        <f>IRR(AP12:AP42)</f>
        <v>5.9104225273745113E-2</v>
      </c>
      <c r="AQ51" s="794"/>
      <c r="AR51" s="794"/>
      <c r="AS51" s="809">
        <f t="shared" si="10"/>
        <v>67.668255062776424</v>
      </c>
      <c r="AT51" s="794">
        <v>2010</v>
      </c>
      <c r="AU51" s="794">
        <v>6.8</v>
      </c>
      <c r="AV51" s="855">
        <v>54.87166666666667</v>
      </c>
      <c r="AW51" s="794">
        <v>5.68</v>
      </c>
      <c r="AX51" s="809">
        <f t="shared" si="1"/>
        <v>63.047999999999995</v>
      </c>
      <c r="AY51" s="809">
        <v>23.418549076810077</v>
      </c>
      <c r="AZ51" s="794"/>
      <c r="BA51" s="810">
        <f t="shared" si="2"/>
        <v>4.0719853098462711E-2</v>
      </c>
      <c r="BB51" s="811">
        <f t="shared" si="3"/>
        <v>0.17168240413834868</v>
      </c>
      <c r="BC51" s="811">
        <f t="shared" si="4"/>
        <v>0.26221790237827669</v>
      </c>
      <c r="BD51" s="811"/>
      <c r="BE51" s="282"/>
      <c r="BF51" s="282"/>
      <c r="BG51" s="282"/>
    </row>
    <row r="52" spans="1:59" ht="14.45" customHeight="1">
      <c r="N52" s="849"/>
      <c r="O52" s="812"/>
      <c r="P52" s="812"/>
      <c r="S52" s="794"/>
      <c r="T52" s="794"/>
      <c r="U52" s="819"/>
      <c r="V52" s="794"/>
      <c r="W52" s="794"/>
      <c r="X52" s="794"/>
      <c r="Y52" s="794"/>
      <c r="Z52" s="794"/>
      <c r="AA52" s="794"/>
      <c r="AB52" s="794"/>
      <c r="AC52" s="794"/>
      <c r="AD52" s="794">
        <v>25</v>
      </c>
      <c r="AE52" s="864">
        <f>((-1*AM12)-AI45+AJ45)/AE45*100*O31</f>
        <v>7.6032753825082313</v>
      </c>
      <c r="AF52" s="794"/>
      <c r="AG52" s="794"/>
      <c r="AH52" s="794"/>
      <c r="AI52" s="794"/>
      <c r="AJ52" s="794"/>
      <c r="AK52" s="794"/>
      <c r="AL52" s="794"/>
      <c r="AM52" s="794"/>
      <c r="AN52" s="794">
        <v>30</v>
      </c>
      <c r="AO52" s="860" t="s">
        <v>185</v>
      </c>
      <c r="AP52" s="840">
        <f>MIRR(AP12:AP42,AP51,0.025)*O32</f>
        <v>0</v>
      </c>
      <c r="AQ52" s="794"/>
      <c r="AR52" s="794"/>
      <c r="AS52" s="809">
        <f t="shared" si="10"/>
        <v>71.396426058164522</v>
      </c>
      <c r="AT52" s="794">
        <v>2011</v>
      </c>
      <c r="AU52" s="794">
        <v>7.5</v>
      </c>
      <c r="AV52" s="865">
        <v>69.260000000000005</v>
      </c>
      <c r="AW52" s="794">
        <v>6.14</v>
      </c>
      <c r="AX52" s="809">
        <f t="shared" si="1"/>
        <v>68.153999999999996</v>
      </c>
      <c r="AY52" s="809">
        <v>25.075142284538771</v>
      </c>
      <c r="AZ52" s="794"/>
      <c r="BA52" s="810">
        <f t="shared" si="2"/>
        <v>-2.4111184532445318E-2</v>
      </c>
      <c r="BB52" s="811">
        <f t="shared" si="3"/>
        <v>8.7640773895466317E-2</v>
      </c>
      <c r="BC52" s="811"/>
      <c r="BD52" s="811"/>
      <c r="BE52" s="282"/>
      <c r="BF52" s="282"/>
      <c r="BG52" s="282"/>
    </row>
    <row r="53" spans="1:59" ht="14.45" customHeight="1">
      <c r="N53" s="849"/>
      <c r="O53" s="812"/>
      <c r="P53" s="812"/>
      <c r="S53" s="794"/>
      <c r="T53" s="794"/>
      <c r="U53" s="819"/>
      <c r="V53" s="794"/>
      <c r="W53" s="794"/>
      <c r="X53" s="794"/>
      <c r="Y53" s="794"/>
      <c r="Z53" s="794"/>
      <c r="AA53" s="794"/>
      <c r="AB53" s="794"/>
      <c r="AC53" s="794"/>
      <c r="AD53" s="794">
        <v>30</v>
      </c>
      <c r="AE53" s="864">
        <f>((-1*AM12)-AI47+AJ47)/AE47*100*O32</f>
        <v>0</v>
      </c>
      <c r="AF53" s="794"/>
      <c r="AG53" s="794"/>
      <c r="AH53" s="794"/>
      <c r="AI53" s="794"/>
      <c r="AJ53" s="794"/>
      <c r="AK53" s="794"/>
      <c r="AL53" s="839">
        <f>IRR(AL12:AL42)</f>
        <v>3.5723866203173943E-2</v>
      </c>
      <c r="AM53" s="839">
        <f>IRR(AM12:AM42)</f>
        <v>8.1024256140340631E-2</v>
      </c>
      <c r="AN53" s="794">
        <v>30</v>
      </c>
      <c r="AO53" s="794"/>
      <c r="AP53" s="794"/>
      <c r="AQ53" s="794"/>
      <c r="AR53" s="794"/>
      <c r="AS53" s="809">
        <f t="shared" si="10"/>
        <v>75.330000000000084</v>
      </c>
      <c r="AT53" s="794">
        <v>2012</v>
      </c>
      <c r="AU53" s="794">
        <v>9.1999999999999993</v>
      </c>
      <c r="AV53" s="855">
        <v>75.33</v>
      </c>
      <c r="AW53" s="794">
        <v>6.4249999999999998</v>
      </c>
      <c r="AX53" s="809">
        <f t="shared" si="1"/>
        <v>71.317499999999995</v>
      </c>
      <c r="AY53" s="809">
        <v>25.761466876558369</v>
      </c>
      <c r="AZ53" s="794"/>
      <c r="BA53" s="810">
        <f t="shared" si="2"/>
        <v>-7.5604610252901772E-2</v>
      </c>
      <c r="BB53" s="811">
        <f>($AV$53:$AV$54/AV53)^(1/($AT$54-AT53))-1</f>
        <v>0</v>
      </c>
      <c r="BC53" s="811"/>
      <c r="BD53" s="811"/>
      <c r="BE53" s="282"/>
      <c r="BF53" s="282"/>
      <c r="BG53" s="282"/>
    </row>
    <row r="54" spans="1:59" ht="14.45" customHeight="1">
      <c r="A54" s="455"/>
      <c r="B54" s="455"/>
      <c r="C54" s="455"/>
      <c r="D54" s="455"/>
      <c r="F54" s="11"/>
      <c r="G54" s="11"/>
      <c r="H54" s="11"/>
      <c r="I54" s="11"/>
      <c r="N54" s="849"/>
      <c r="O54" s="849"/>
      <c r="P54" s="812"/>
      <c r="S54" s="794"/>
      <c r="T54" s="794"/>
      <c r="U54" s="819"/>
      <c r="V54" s="794"/>
      <c r="W54" s="794"/>
      <c r="X54" s="794"/>
      <c r="Y54" s="794"/>
      <c r="Z54" s="794"/>
      <c r="AA54" s="794"/>
      <c r="AB54" s="794"/>
      <c r="AC54" s="794"/>
      <c r="AD54" s="794"/>
      <c r="AE54" s="864">
        <f>SUM(AE51:AE53)</f>
        <v>7.6032753825082313</v>
      </c>
      <c r="AF54" s="794"/>
      <c r="AG54" s="794"/>
      <c r="AH54" s="794"/>
      <c r="AI54" s="794"/>
      <c r="AJ54" s="794"/>
      <c r="AK54" s="794"/>
      <c r="AL54" s="840">
        <f>MIRR(AL12:AL42,AL53,0.025)</f>
        <v>3.0796810540813624E-2</v>
      </c>
      <c r="AM54" s="840">
        <f>MIRR(AM12:AM42,AM53,0.025)</f>
        <v>5.778055117429548E-2</v>
      </c>
      <c r="AN54" s="794">
        <v>30</v>
      </c>
      <c r="AO54" s="794"/>
      <c r="AP54" s="794"/>
      <c r="AQ54" s="794"/>
      <c r="AR54" s="794"/>
      <c r="AS54" s="809">
        <f t="shared" si="10"/>
        <v>79.480293528657569</v>
      </c>
      <c r="AT54" s="794">
        <v>2013</v>
      </c>
      <c r="AU54" s="809">
        <v>8.4323232323232329</v>
      </c>
      <c r="AV54" s="866">
        <v>70.36</v>
      </c>
      <c r="AW54" s="794">
        <v>6.75</v>
      </c>
      <c r="AX54" s="809">
        <f t="shared" si="1"/>
        <v>74.924999999999997</v>
      </c>
      <c r="AY54" s="809">
        <v>28.827087046589057</v>
      </c>
      <c r="BA54" s="810">
        <f t="shared" si="2"/>
        <v>-8.5133598635588337E-2</v>
      </c>
      <c r="BE54" s="282"/>
      <c r="BF54" s="282"/>
      <c r="BG54" s="282"/>
    </row>
    <row r="55" spans="1:59" ht="14.45" customHeight="1">
      <c r="A55" s="455"/>
      <c r="B55" s="455"/>
      <c r="C55" s="455"/>
      <c r="D55" s="455"/>
      <c r="N55" s="849"/>
      <c r="O55" s="849"/>
      <c r="S55" s="794"/>
      <c r="T55" s="794"/>
      <c r="U55" s="819"/>
      <c r="V55" s="794"/>
      <c r="W55" s="794"/>
      <c r="X55" s="794"/>
      <c r="Y55" s="794"/>
      <c r="Z55" s="794"/>
      <c r="AA55" s="794"/>
      <c r="AB55" s="794"/>
      <c r="AC55" s="794"/>
      <c r="AD55" s="794"/>
      <c r="AE55" s="794"/>
      <c r="AF55" s="794"/>
      <c r="AG55" s="794"/>
      <c r="AH55" s="794"/>
      <c r="AI55" s="794"/>
      <c r="AJ55" s="794"/>
      <c r="AK55" s="794"/>
      <c r="AL55" s="794"/>
      <c r="AM55" s="794"/>
      <c r="AN55" s="794"/>
      <c r="AO55" s="794"/>
      <c r="AP55" s="839">
        <f>AP52+AP48+AP44</f>
        <v>3.6169250623989901E-2</v>
      </c>
      <c r="AQ55" s="794"/>
      <c r="AR55" s="794"/>
      <c r="AS55" s="809">
        <f t="shared" si="10"/>
        <v>83.859246772886763</v>
      </c>
      <c r="AT55" s="794">
        <v>2014</v>
      </c>
      <c r="AU55" s="809">
        <v>7.73</v>
      </c>
      <c r="AV55" s="866">
        <v>64.37</v>
      </c>
      <c r="AW55" s="794">
        <v>6.7949999999999999</v>
      </c>
      <c r="AX55" s="809">
        <f t="shared" si="1"/>
        <v>75.424499999999995</v>
      </c>
      <c r="AY55" s="794"/>
      <c r="AZ55" s="794"/>
      <c r="BA55" s="794"/>
      <c r="BB55" s="282"/>
      <c r="BC55" s="282"/>
      <c r="BD55" s="282"/>
      <c r="BE55" s="282"/>
      <c r="BF55" s="282"/>
      <c r="BG55" s="282"/>
    </row>
    <row r="56" spans="1:59" ht="14.45" customHeight="1">
      <c r="C56" s="455"/>
      <c r="D56" s="455"/>
      <c r="N56" s="849"/>
      <c r="O56" s="849"/>
      <c r="S56" s="794"/>
      <c r="T56" s="794"/>
      <c r="U56" s="819"/>
      <c r="AS56" s="809">
        <f t="shared" si="10"/>
        <v>88.479457700798662</v>
      </c>
      <c r="AT56" s="794">
        <v>2015</v>
      </c>
      <c r="AU56" s="280">
        <v>4.92828</v>
      </c>
      <c r="AV56" s="866">
        <v>48.79</v>
      </c>
      <c r="AW56" s="280">
        <v>6.7850000000000001</v>
      </c>
      <c r="AX56" s="280">
        <f t="shared" si="1"/>
        <v>75.313500000000005</v>
      </c>
      <c r="BA56" s="810">
        <f>($AV$55/AV39)^(1/($AT$55-AT39))-1</f>
        <v>7.0074714888885614E-2</v>
      </c>
      <c r="BB56" s="811">
        <f>($AV$53/AV11)^(1/($AT$53-AT11))-1</f>
        <v>5.5094829797656786E-2</v>
      </c>
      <c r="BC56" s="811">
        <f>($AV$52/AV11)^(1/($AT$52-AT11))-1</f>
        <v>5.4313312794861401E-2</v>
      </c>
      <c r="BD56" s="811">
        <f>($AV$51/AV11)^(1/($AT$51-AT11))-1</f>
        <v>4.9580067007417128E-2</v>
      </c>
    </row>
    <row r="57" spans="1:59" ht="14.45" customHeight="1">
      <c r="A57" s="455"/>
      <c r="B57" s="455"/>
      <c r="C57" s="455"/>
      <c r="D57" s="455"/>
      <c r="E57" s="455"/>
      <c r="F57" s="455"/>
      <c r="G57" s="455"/>
      <c r="H57" s="455"/>
      <c r="I57" s="455"/>
      <c r="J57" s="455"/>
      <c r="K57" s="455"/>
      <c r="L57" s="454"/>
      <c r="N57" s="867"/>
    </row>
    <row r="58" spans="1:59" ht="14.45" customHeight="1">
      <c r="A58" s="445"/>
      <c r="B58" s="445"/>
      <c r="C58" s="445"/>
      <c r="D58" s="445"/>
      <c r="E58" s="445"/>
      <c r="F58" s="445"/>
      <c r="G58" s="445"/>
      <c r="H58" s="445"/>
      <c r="I58" s="445"/>
      <c r="J58" s="445"/>
      <c r="K58" s="445"/>
      <c r="L58" s="454"/>
      <c r="N58" s="849"/>
      <c r="O58" s="849"/>
    </row>
    <row r="59" spans="1:59" ht="14.45" customHeight="1">
      <c r="A59" s="445"/>
      <c r="B59" s="445"/>
      <c r="C59" s="445"/>
      <c r="D59" s="445"/>
      <c r="E59" s="445"/>
      <c r="F59" s="445"/>
      <c r="G59" s="445"/>
      <c r="H59" s="445"/>
      <c r="I59" s="445"/>
      <c r="J59" s="445"/>
      <c r="K59" s="445"/>
      <c r="L59" s="10"/>
      <c r="N59" s="867"/>
    </row>
    <row r="60" spans="1:59" ht="14.45" customHeight="1">
      <c r="N60" s="867"/>
    </row>
    <row r="61" spans="1:59" ht="14.45" customHeight="1">
      <c r="N61" s="867"/>
    </row>
    <row r="62" spans="1:59" ht="14.45" customHeight="1">
      <c r="N62" s="867"/>
    </row>
    <row r="63" spans="1:59" ht="14.45" customHeight="1">
      <c r="N63" s="867"/>
    </row>
    <row r="64" spans="1:59" ht="14.45" customHeight="1">
      <c r="N64" s="867"/>
    </row>
    <row r="65" spans="1:55" ht="14.45" customHeight="1">
      <c r="Q65" s="812"/>
    </row>
    <row r="66" spans="1:55" ht="16.350000000000001" customHeight="1">
      <c r="S66" s="868"/>
    </row>
    <row r="67" spans="1:55" ht="16.350000000000001" hidden="1" customHeight="1" thickBot="1"/>
    <row r="68" spans="1:55" ht="16.350000000000001" customHeight="1"/>
    <row r="69" spans="1:55" ht="16.350000000000001" customHeight="1">
      <c r="A69" s="453" t="s">
        <v>184</v>
      </c>
      <c r="B69" s="452"/>
      <c r="C69" s="452"/>
      <c r="D69" s="452"/>
      <c r="E69" s="452"/>
      <c r="F69" s="452"/>
      <c r="G69" s="452"/>
      <c r="H69" s="452"/>
      <c r="I69" s="452"/>
      <c r="J69" s="452"/>
      <c r="K69" s="452"/>
      <c r="L69" s="452"/>
      <c r="M69" s="11"/>
    </row>
    <row r="70" spans="1:55" ht="99.75" customHeight="1" thickBot="1">
      <c r="A70" s="726" t="s">
        <v>183</v>
      </c>
      <c r="B70" s="726"/>
      <c r="C70" s="726"/>
      <c r="D70" s="726"/>
      <c r="E70" s="726"/>
      <c r="F70" s="726"/>
      <c r="G70" s="726"/>
      <c r="H70" s="726"/>
      <c r="I70" s="726"/>
      <c r="J70" s="726"/>
      <c r="K70" s="726"/>
      <c r="L70" s="726"/>
      <c r="M70" s="11"/>
    </row>
    <row r="71" spans="1:55" ht="21" customHeight="1" thickBot="1">
      <c r="A71" s="451"/>
      <c r="B71" s="450"/>
      <c r="C71" s="450"/>
      <c r="D71" s="450"/>
      <c r="E71" s="449"/>
      <c r="F71" s="448" t="s">
        <v>182</v>
      </c>
      <c r="G71" s="447">
        <v>0.01</v>
      </c>
      <c r="H71" s="443" t="s">
        <v>181</v>
      </c>
      <c r="I71" s="442"/>
      <c r="J71" s="442"/>
      <c r="K71" s="441"/>
      <c r="L71" s="440">
        <v>1.7999999999999999E-2</v>
      </c>
      <c r="M71" s="11"/>
      <c r="BA71" s="869" t="s">
        <v>180</v>
      </c>
      <c r="BB71" s="870">
        <v>6.41</v>
      </c>
    </row>
    <row r="72" spans="1:55" ht="18" customHeight="1" thickBot="1">
      <c r="A72" s="446" t="s">
        <v>576</v>
      </c>
      <c r="B72" s="446"/>
      <c r="C72" s="445"/>
      <c r="D72" s="445"/>
      <c r="F72" s="444"/>
      <c r="G72" s="444"/>
      <c r="H72" s="443" t="s">
        <v>179</v>
      </c>
      <c r="I72" s="442"/>
      <c r="J72" s="442"/>
      <c r="K72" s="441"/>
      <c r="L72" s="440">
        <v>3.5000000000000003E-2</v>
      </c>
      <c r="M72" s="11"/>
      <c r="BA72" s="869" t="s">
        <v>178</v>
      </c>
      <c r="BB72" s="870">
        <v>7.62</v>
      </c>
      <c r="BC72" s="308">
        <f>SUM(BB71:BB72)/2</f>
        <v>7.0150000000000006</v>
      </c>
    </row>
    <row r="73" spans="1:55" ht="15" customHeight="1">
      <c r="A73" s="439"/>
      <c r="B73" s="11"/>
      <c r="C73" s="105"/>
      <c r="D73" s="438"/>
      <c r="E73" s="438"/>
      <c r="F73" s="437"/>
      <c r="G73" s="308"/>
      <c r="H73" s="308"/>
      <c r="I73" s="308"/>
      <c r="J73" s="308"/>
      <c r="K73" s="308"/>
      <c r="L73" s="428"/>
      <c r="M73" s="100"/>
      <c r="BA73" s="869" t="s">
        <v>177</v>
      </c>
      <c r="BB73" s="870">
        <v>6.4799999999999995</v>
      </c>
    </row>
    <row r="74" spans="1:55" ht="15" customHeight="1">
      <c r="A74" s="11"/>
      <c r="B74" s="435"/>
      <c r="C74" s="435"/>
      <c r="D74" s="436"/>
      <c r="E74" s="436"/>
      <c r="F74" s="436"/>
      <c r="G74" s="11"/>
      <c r="H74" s="11"/>
      <c r="I74" s="11"/>
      <c r="J74" s="11"/>
      <c r="K74" s="11"/>
      <c r="L74" s="11"/>
      <c r="M74" s="11"/>
      <c r="BA74" s="869" t="s">
        <v>176</v>
      </c>
      <c r="BB74" s="870">
        <v>5.89</v>
      </c>
      <c r="BC74" s="308">
        <f>SUM(BB73:BB74)/2</f>
        <v>6.1849999999999996</v>
      </c>
    </row>
    <row r="75" spans="1:55" ht="15">
      <c r="A75" s="11"/>
      <c r="B75" s="435"/>
      <c r="C75" s="435"/>
      <c r="D75" s="434"/>
      <c r="E75" s="434"/>
      <c r="F75" s="11"/>
      <c r="G75" s="11"/>
      <c r="H75" s="433"/>
      <c r="I75" s="433"/>
      <c r="J75" s="433"/>
      <c r="K75" s="11"/>
      <c r="L75" s="11"/>
      <c r="M75" s="11"/>
      <c r="BA75" s="869" t="s">
        <v>175</v>
      </c>
      <c r="BB75" s="870">
        <v>5.65</v>
      </c>
    </row>
    <row r="76" spans="1:55" ht="14.45" customHeight="1">
      <c r="A76" s="432"/>
      <c r="B76" s="431"/>
      <c r="C76" s="431"/>
      <c r="D76" s="431"/>
      <c r="E76" s="431"/>
      <c r="F76" s="431"/>
      <c r="G76" s="11"/>
      <c r="H76" s="430"/>
      <c r="I76" s="430"/>
      <c r="J76" s="430"/>
      <c r="K76" s="11"/>
      <c r="L76" s="11"/>
      <c r="M76" s="11"/>
      <c r="BA76" s="869" t="s">
        <v>174</v>
      </c>
      <c r="BB76" s="870">
        <v>5.71</v>
      </c>
      <c r="BC76" s="308">
        <f>SUM(BB75:BB76)/2</f>
        <v>5.68</v>
      </c>
    </row>
    <row r="77" spans="1:55" ht="6.6" customHeight="1">
      <c r="A77" s="429"/>
      <c r="B77" s="308"/>
      <c r="C77" s="308"/>
      <c r="D77" s="308"/>
      <c r="E77" s="308"/>
      <c r="F77" s="308"/>
      <c r="G77" s="11"/>
      <c r="H77" s="428"/>
      <c r="I77" s="428"/>
      <c r="J77" s="428"/>
      <c r="K77" s="11"/>
      <c r="BA77" s="869" t="s">
        <v>173</v>
      </c>
      <c r="BB77" s="870">
        <v>5.88</v>
      </c>
    </row>
    <row r="78" spans="1:55" ht="15">
      <c r="A78" s="423"/>
      <c r="B78" s="308"/>
      <c r="C78" s="308"/>
      <c r="D78" s="308"/>
      <c r="E78" s="308"/>
      <c r="F78" s="308"/>
      <c r="G78" s="427"/>
      <c r="H78" s="308"/>
      <c r="I78" s="308"/>
      <c r="J78" s="308"/>
      <c r="K78" s="308"/>
      <c r="L78" s="308"/>
      <c r="BA78" s="869" t="s">
        <v>172</v>
      </c>
      <c r="BB78" s="870">
        <v>6.4</v>
      </c>
      <c r="BC78" s="308">
        <f>SUM(BB77:BB78)/2</f>
        <v>6.1400000000000006</v>
      </c>
    </row>
    <row r="79" spans="1:55">
      <c r="A79" s="308"/>
      <c r="B79" s="308"/>
      <c r="C79" s="308"/>
      <c r="D79" s="308"/>
      <c r="E79" s="308"/>
      <c r="F79" s="308"/>
      <c r="G79" s="426"/>
      <c r="H79" s="308"/>
      <c r="I79" s="308"/>
      <c r="J79" s="308"/>
      <c r="K79" s="308"/>
      <c r="L79" s="308"/>
      <c r="BA79" s="869" t="s">
        <v>171</v>
      </c>
      <c r="BB79" s="870">
        <v>6.370000000000001</v>
      </c>
    </row>
    <row r="80" spans="1:55">
      <c r="A80" s="308"/>
      <c r="B80" s="308"/>
      <c r="C80" s="308"/>
      <c r="D80" s="308"/>
      <c r="E80" s="308"/>
      <c r="F80" s="308"/>
      <c r="G80" s="11"/>
      <c r="H80" s="308"/>
      <c r="I80" s="308"/>
      <c r="J80" s="308"/>
      <c r="K80" s="308"/>
      <c r="L80" s="308"/>
      <c r="BA80" s="869" t="s">
        <v>170</v>
      </c>
      <c r="BB80" s="870">
        <v>6.4799999999999995</v>
      </c>
      <c r="BC80" s="308">
        <f>SUM(BB79:BB80)/2</f>
        <v>6.4250000000000007</v>
      </c>
    </row>
    <row r="81" spans="1:55" ht="15">
      <c r="A81" s="308"/>
      <c r="B81" s="308"/>
      <c r="C81" s="308"/>
      <c r="D81" s="308"/>
      <c r="E81" s="308"/>
      <c r="F81" s="308"/>
      <c r="G81" s="425"/>
      <c r="H81" s="308"/>
      <c r="I81" s="308"/>
      <c r="J81" s="308"/>
      <c r="K81" s="308"/>
      <c r="L81" s="308"/>
      <c r="BA81" s="869" t="s">
        <v>169</v>
      </c>
      <c r="BB81" s="870">
        <v>6.61</v>
      </c>
    </row>
    <row r="82" spans="1:55">
      <c r="A82" s="308"/>
      <c r="B82" s="308"/>
      <c r="C82" s="308"/>
      <c r="D82" s="308"/>
      <c r="E82" s="308"/>
      <c r="F82" s="308"/>
      <c r="G82" s="11"/>
      <c r="H82" s="308"/>
      <c r="I82" s="308"/>
      <c r="J82" s="308"/>
      <c r="K82" s="308"/>
      <c r="L82" s="308"/>
      <c r="BA82" s="869" t="s">
        <v>168</v>
      </c>
      <c r="BB82" s="870">
        <v>6.8900000000000006</v>
      </c>
      <c r="BC82" s="308">
        <f>SUM(BB81:BB82)/2</f>
        <v>6.75</v>
      </c>
    </row>
    <row r="83" spans="1:55" ht="15">
      <c r="A83" s="308"/>
      <c r="B83" s="308"/>
      <c r="C83" s="308"/>
      <c r="D83" s="308"/>
      <c r="E83" s="308"/>
      <c r="F83" s="308"/>
      <c r="G83" s="423"/>
      <c r="H83" s="308"/>
      <c r="I83" s="308"/>
      <c r="J83" s="308"/>
      <c r="K83" s="308"/>
      <c r="L83" s="308"/>
      <c r="BA83" s="869" t="s">
        <v>167</v>
      </c>
      <c r="BB83" s="870">
        <v>6.78</v>
      </c>
    </row>
    <row r="84" spans="1:55">
      <c r="A84" s="308"/>
      <c r="B84" s="308"/>
      <c r="C84" s="424"/>
      <c r="D84" s="308"/>
      <c r="E84" s="308"/>
      <c r="F84" s="308"/>
      <c r="G84" s="308"/>
      <c r="H84" s="308"/>
      <c r="I84" s="308"/>
      <c r="J84" s="308"/>
      <c r="K84" s="308"/>
      <c r="L84" s="308"/>
      <c r="BA84" s="869" t="s">
        <v>166</v>
      </c>
      <c r="BB84" s="870">
        <v>6.81</v>
      </c>
      <c r="BC84" s="308">
        <f>SUM(BB83:BB84)/2</f>
        <v>6.7949999999999999</v>
      </c>
    </row>
    <row r="85" spans="1:55">
      <c r="A85" s="308"/>
      <c r="G85" s="308"/>
      <c r="H85" s="424"/>
      <c r="I85" s="424"/>
      <c r="J85" s="424"/>
      <c r="K85" s="308"/>
      <c r="L85" s="308"/>
      <c r="BA85" s="869" t="s">
        <v>165</v>
      </c>
      <c r="BB85" s="870">
        <v>6.76</v>
      </c>
      <c r="BC85" s="308">
        <f>SUM(BB84:BB85)/2</f>
        <v>6.7850000000000001</v>
      </c>
    </row>
    <row r="86" spans="1:55">
      <c r="G86" s="308"/>
    </row>
    <row r="87" spans="1:55">
      <c r="G87" s="308"/>
    </row>
    <row r="88" spans="1:55">
      <c r="G88" s="308"/>
    </row>
    <row r="89" spans="1:55" ht="15">
      <c r="G89" s="423"/>
    </row>
    <row r="90" spans="1:55">
      <c r="G90" s="308"/>
    </row>
  </sheetData>
  <sheetProtection password="F0B6" sheet="1" objects="1" scenarios="1" selectLockedCells="1"/>
  <mergeCells count="20">
    <mergeCell ref="A70:L70"/>
    <mergeCell ref="A43:C43"/>
    <mergeCell ref="A44:C44"/>
    <mergeCell ref="K44:L44"/>
    <mergeCell ref="H42:J42"/>
    <mergeCell ref="A46:L46"/>
    <mergeCell ref="K43:L43"/>
    <mergeCell ref="A42:C42"/>
    <mergeCell ref="K32:L32"/>
    <mergeCell ref="G26:H26"/>
    <mergeCell ref="AP9:AP11"/>
    <mergeCell ref="AN9:AO11"/>
    <mergeCell ref="A26:E26"/>
    <mergeCell ref="J26:K26"/>
    <mergeCell ref="B28:C28"/>
    <mergeCell ref="D28:E28"/>
    <mergeCell ref="F28:L28"/>
    <mergeCell ref="D31:E31"/>
    <mergeCell ref="A30:E30"/>
    <mergeCell ref="J30:L30"/>
  </mergeCells>
  <conditionalFormatting sqref="K33">
    <cfRule type="expression" dxfId="18" priority="8" stopIfTrue="1">
      <formula>$J$33&lt;1</formula>
    </cfRule>
  </conditionalFormatting>
  <conditionalFormatting sqref="K35:L36">
    <cfRule type="expression" dxfId="17" priority="5">
      <formula>$G$26="Neubau"</formula>
    </cfRule>
    <cfRule type="expression" dxfId="16" priority="7" stopIfTrue="1">
      <formula>$J$33&lt;1</formula>
    </cfRule>
  </conditionalFormatting>
  <conditionalFormatting sqref="K34:L34">
    <cfRule type="expression" dxfId="15" priority="6" stopIfTrue="1">
      <formula>$J$33&lt;1</formula>
    </cfRule>
  </conditionalFormatting>
  <conditionalFormatting sqref="K37">
    <cfRule type="expression" dxfId="14" priority="3">
      <formula>$G$26="Neubau"</formula>
    </cfRule>
    <cfRule type="expression" dxfId="13" priority="4" stopIfTrue="1">
      <formula>$J$33&lt;1</formula>
    </cfRule>
  </conditionalFormatting>
  <conditionalFormatting sqref="L37">
    <cfRule type="expression" dxfId="12" priority="1">
      <formula>$G$26="Neubau"</formula>
    </cfRule>
    <cfRule type="expression" dxfId="11" priority="2" stopIfTrue="1">
      <formula>$J$33&lt;1</formula>
    </cfRule>
  </conditionalFormatting>
  <dataValidations disablePrompts="1" count="10">
    <dataValidation type="list" allowBlank="1" showInputMessage="1" showErrorMessage="1" sqref="H34">
      <formula1>$N$34:$O$34</formula1>
    </dataValidation>
    <dataValidation type="list" allowBlank="1" showInputMessage="1" showErrorMessage="1" sqref="H36">
      <formula1>$N$36:$O$36</formula1>
    </dataValidation>
    <dataValidation type="list" allowBlank="1" showInputMessage="1" showErrorMessage="1" sqref="H35">
      <formula1>$N$35:$O$35</formula1>
    </dataValidation>
    <dataValidation type="list" allowBlank="1" showInputMessage="1" showErrorMessage="1" sqref="H42:J42">
      <formula1>$N$30:$N$32</formula1>
    </dataValidation>
    <dataValidation type="list" allowBlank="1" showInputMessage="1" showErrorMessage="1" sqref="L26">
      <formula1>$O$17:$O$18</formula1>
    </dataValidation>
    <dataValidation type="list" allowBlank="1" showInputMessage="1" showErrorMessage="1" sqref="A26:E26">
      <formula1>$O$12:$O$15</formula1>
    </dataValidation>
    <dataValidation type="list" allowBlank="1" showInputMessage="1" showErrorMessage="1" sqref="A30:E30">
      <formula1>$P$4:$P$5</formula1>
    </dataValidation>
    <dataValidation type="list" allowBlank="1" showInputMessage="1" showErrorMessage="1" sqref="G26:H26">
      <formula1>$S$40:$T$40</formula1>
    </dataValidation>
    <dataValidation type="list" allowBlank="1" showInputMessage="1" showErrorMessage="1" sqref="J30:L30">
      <formula1>$R$33:$R$38</formula1>
    </dataValidation>
    <dataValidation type="list" allowBlank="1" showInputMessage="1" showErrorMessage="1" sqref="D31:E31">
      <formula1>Liste1</formula1>
    </dataValidation>
  </dataValidations>
  <printOptions horizontalCentered="1" verticalCentered="1"/>
  <pageMargins left="0.59055118110236227" right="0.23622047244094491" top="0.27559055118110237" bottom="0.11811023622047245" header="0.19685039370078741" footer="7.874015748031496E-2"/>
  <pageSetup paperSize="9" scale="61" orientation="portrait" r:id="rId1"/>
  <headerFooter alignWithMargins="0">
    <oddHeader>&amp;R&amp;G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sheetPr codeName="Tabelle41">
    <tabColor indexed="15"/>
    <pageSetUpPr fitToPage="1"/>
  </sheetPr>
  <dimension ref="A1:EK184"/>
  <sheetViews>
    <sheetView showGridLines="0" showZeros="0" tabSelected="1" topLeftCell="A10" zoomScale="60" zoomScaleNormal="60" zoomScalePageLayoutView="70" workbookViewId="0">
      <selection activeCell="E31" sqref="E31"/>
    </sheetView>
  </sheetViews>
  <sheetFormatPr baseColWidth="10" defaultColWidth="10.85546875" defaultRowHeight="14.25"/>
  <cols>
    <col min="1" max="1" width="7" style="307" customWidth="1"/>
    <col min="2" max="2" width="0.85546875" style="10" customWidth="1"/>
    <col min="3" max="3" width="31.28515625" style="307" customWidth="1"/>
    <col min="4" max="4" width="0.85546875" style="10" customWidth="1"/>
    <col min="5" max="5" width="31.28515625" style="307" customWidth="1"/>
    <col min="6" max="6" width="0.85546875" style="10" customWidth="1"/>
    <col min="7" max="7" width="31.28515625" style="307" customWidth="1"/>
    <col min="8" max="8" width="0.85546875" style="10" customWidth="1"/>
    <col min="9" max="9" width="31.28515625" style="307" customWidth="1"/>
    <col min="10" max="10" width="0.85546875" style="10" customWidth="1"/>
    <col min="11" max="11" width="31.28515625" style="307" customWidth="1"/>
    <col min="12" max="12" width="0.85546875" style="10" customWidth="1"/>
    <col min="13" max="13" width="31.28515625" style="307" customWidth="1"/>
    <col min="14" max="14" width="0.85546875" style="10" customWidth="1"/>
    <col min="15" max="15" width="31.28515625" style="307" customWidth="1"/>
    <col min="16" max="16" width="0.85546875" style="307" customWidth="1"/>
    <col min="17" max="17" width="31.28515625" style="307" customWidth="1"/>
    <col min="18" max="18" width="1.85546875" style="307" customWidth="1"/>
    <col min="19" max="19" width="32" style="307" bestFit="1" customWidth="1"/>
    <col min="20" max="20" width="16.85546875" style="11" bestFit="1" customWidth="1"/>
    <col min="21" max="21" width="15.140625" style="308" bestFit="1" customWidth="1"/>
    <col min="22" max="22" width="63.28515625" style="308" bestFit="1" customWidth="1"/>
    <col min="23" max="23" width="16.140625" style="308" bestFit="1" customWidth="1"/>
    <col min="24" max="24" width="27.28515625" style="308" bestFit="1" customWidth="1"/>
    <col min="25" max="25" width="17.85546875" style="282" bestFit="1" customWidth="1"/>
    <col min="26" max="26" width="18.140625" style="310" bestFit="1" customWidth="1"/>
    <col min="27" max="27" width="14" style="282" bestFit="1" customWidth="1"/>
    <col min="28" max="28" width="14.42578125" style="282" bestFit="1" customWidth="1"/>
    <col min="29" max="29" width="20.7109375" style="308" bestFit="1" customWidth="1"/>
    <col min="30" max="30" width="8.42578125" style="308" bestFit="1" customWidth="1"/>
    <col min="31" max="31" width="7.85546875" style="308" bestFit="1" customWidth="1"/>
    <col min="32" max="32" width="13.28515625" style="308" bestFit="1" customWidth="1"/>
    <col min="33" max="33" width="20.140625" style="308" bestFit="1" customWidth="1"/>
    <col min="34" max="34" width="4.85546875" style="308" bestFit="1" customWidth="1"/>
    <col min="35" max="35" width="4.42578125" style="308" bestFit="1" customWidth="1"/>
    <col min="36" max="36" width="8.42578125" style="308" bestFit="1" customWidth="1"/>
    <col min="37" max="37" width="8.140625" style="308" bestFit="1" customWidth="1"/>
    <col min="38" max="38" width="7.7109375" style="308" bestFit="1" customWidth="1"/>
    <col min="39" max="39" width="19.28515625" style="308" bestFit="1" customWidth="1"/>
    <col min="40" max="40" width="11.7109375" style="308" bestFit="1" customWidth="1"/>
    <col min="41" max="41" width="12.42578125" style="308" bestFit="1" customWidth="1"/>
    <col min="42" max="42" width="13.140625" style="308" bestFit="1" customWidth="1"/>
    <col min="43" max="43" width="15.85546875" style="308" bestFit="1" customWidth="1"/>
    <col min="44" max="44" width="13.140625" style="308" customWidth="1"/>
    <col min="45" max="45" width="33.140625" style="308" bestFit="1" customWidth="1"/>
    <col min="46" max="46" width="23.42578125" style="308" bestFit="1" customWidth="1"/>
    <col min="47" max="47" width="25.28515625" style="308" bestFit="1" customWidth="1"/>
    <col min="48" max="48" width="27.42578125" style="308" bestFit="1" customWidth="1"/>
    <col min="49" max="52" width="13.140625" style="308" customWidth="1"/>
    <col min="53" max="53" width="25.42578125" style="308" bestFit="1" customWidth="1"/>
    <col min="54" max="54" width="15.28515625" style="308" bestFit="1" customWidth="1"/>
    <col min="55" max="55" width="19.42578125" style="308" bestFit="1" customWidth="1"/>
    <col min="56" max="75" width="13.140625" style="308" customWidth="1"/>
    <col min="76" max="115" width="13.140625" style="10" customWidth="1"/>
    <col min="116" max="135" width="13.140625" style="307" customWidth="1"/>
    <col min="136" max="141" width="10.85546875" style="9"/>
    <col min="142" max="16384" width="10.85546875" style="307"/>
  </cols>
  <sheetData>
    <row r="1" spans="1:123" s="125" customFormat="1" ht="90" customHeight="1">
      <c r="A1" s="307"/>
      <c r="B1" s="10"/>
      <c r="C1" s="236" t="s">
        <v>102</v>
      </c>
      <c r="K1" s="760" t="str">
        <f>Tabelle1!M15</f>
        <v>Freifläche auf versiegelte oder Konversionsflächen / ab 2016 Nichtwohngebäude im Aussenbereich</v>
      </c>
      <c r="L1" s="257"/>
      <c r="M1" s="761" t="str">
        <f>Tabelle1!N15</f>
        <v>Freifläche auf Gewerbegebiete, auf baulichen Anlagen, an Verkehrswegen</v>
      </c>
      <c r="N1" s="246"/>
      <c r="O1" s="745" t="s">
        <v>103</v>
      </c>
      <c r="P1" s="746"/>
      <c r="Q1" s="747"/>
      <c r="R1" s="137"/>
      <c r="U1" s="282"/>
      <c r="V1" s="282"/>
      <c r="W1" s="282"/>
      <c r="X1" s="245"/>
      <c r="Y1" s="244"/>
      <c r="Z1" s="282"/>
      <c r="AA1" s="282"/>
      <c r="AB1" s="282"/>
      <c r="AC1" s="282"/>
      <c r="AD1" s="282"/>
      <c r="AI1" s="282"/>
      <c r="AJ1" s="282"/>
      <c r="AK1" s="282"/>
      <c r="AL1" s="282"/>
      <c r="AM1" s="282"/>
      <c r="AN1" s="282"/>
      <c r="AO1" s="282"/>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18"/>
      <c r="BU1" s="18"/>
      <c r="BV1" s="18"/>
      <c r="BW1" s="18"/>
      <c r="BX1" s="18"/>
      <c r="BY1" s="18"/>
      <c r="BZ1" s="18"/>
      <c r="CA1" s="18"/>
      <c r="CB1" s="18"/>
      <c r="CC1" s="18"/>
      <c r="CD1" s="18"/>
      <c r="CE1" s="18"/>
      <c r="CF1" s="18"/>
      <c r="CG1" s="18"/>
      <c r="CH1" s="18"/>
      <c r="CI1" s="18"/>
      <c r="CJ1" s="18"/>
      <c r="CN1" s="18"/>
      <c r="CO1" s="18"/>
      <c r="CP1" s="18"/>
      <c r="CQ1" s="18"/>
      <c r="CR1" s="18"/>
      <c r="CS1" s="18"/>
      <c r="DN1" s="204"/>
      <c r="DO1" s="204"/>
      <c r="DP1" s="204"/>
      <c r="DQ1" s="204"/>
      <c r="DR1" s="204"/>
      <c r="DS1" s="204"/>
    </row>
    <row r="2" spans="1:123" s="125" customFormat="1" ht="2.4500000000000002" customHeight="1">
      <c r="A2" s="307"/>
      <c r="B2" s="10"/>
      <c r="C2" s="247"/>
      <c r="D2" s="249"/>
      <c r="E2" s="248"/>
      <c r="F2" s="63"/>
      <c r="G2" s="246"/>
      <c r="H2" s="243"/>
      <c r="K2" s="760"/>
      <c r="L2" s="257"/>
      <c r="M2" s="761"/>
      <c r="N2" s="246"/>
      <c r="O2" s="748"/>
      <c r="P2" s="749"/>
      <c r="Q2" s="750"/>
      <c r="R2" s="137"/>
      <c r="U2" s="282"/>
      <c r="V2" s="282"/>
      <c r="W2" s="282"/>
      <c r="X2" s="245"/>
      <c r="Y2" s="244"/>
      <c r="Z2" s="282"/>
      <c r="AA2" s="282"/>
      <c r="AB2" s="282"/>
      <c r="AC2" s="282"/>
      <c r="AD2" s="282"/>
      <c r="AI2" s="282"/>
      <c r="AJ2" s="282"/>
      <c r="AK2" s="282"/>
      <c r="AL2" s="282"/>
      <c r="AM2" s="282"/>
      <c r="AN2" s="282"/>
      <c r="AO2" s="282"/>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18"/>
      <c r="BU2" s="18"/>
      <c r="BV2" s="18"/>
      <c r="BW2" s="18"/>
      <c r="BX2" s="18"/>
      <c r="BY2" s="18"/>
      <c r="BZ2" s="18"/>
      <c r="CA2" s="18"/>
      <c r="CB2" s="18"/>
      <c r="CC2" s="18"/>
      <c r="CD2" s="18"/>
      <c r="CE2" s="18"/>
      <c r="CF2" s="18"/>
      <c r="CG2" s="18"/>
      <c r="CH2" s="18"/>
      <c r="CI2" s="18"/>
      <c r="CJ2" s="18"/>
      <c r="CN2" s="18"/>
      <c r="CO2" s="18"/>
      <c r="CP2" s="18"/>
      <c r="CQ2" s="18"/>
      <c r="CR2" s="18"/>
      <c r="CS2" s="18"/>
      <c r="DN2" s="204"/>
      <c r="DO2" s="204"/>
      <c r="DP2" s="204"/>
      <c r="DQ2" s="204"/>
      <c r="DR2" s="204"/>
      <c r="DS2" s="204"/>
    </row>
    <row r="3" spans="1:123" s="125" customFormat="1" ht="18.75" customHeight="1" thickBot="1">
      <c r="A3" s="307"/>
      <c r="B3" s="10"/>
      <c r="C3" s="736" t="str">
        <f>Tabelle1!I15</f>
        <v>Anlagen auf oder an Gebäuden</v>
      </c>
      <c r="D3" s="736"/>
      <c r="E3" s="736"/>
      <c r="F3" s="736"/>
      <c r="G3" s="736"/>
      <c r="H3" s="736"/>
      <c r="I3" s="736"/>
      <c r="K3" s="760"/>
      <c r="L3" s="257"/>
      <c r="M3" s="761"/>
      <c r="N3" s="241"/>
      <c r="O3" s="751"/>
      <c r="P3" s="752"/>
      <c r="Q3" s="753"/>
      <c r="R3" s="322"/>
      <c r="S3" s="137"/>
      <c r="U3" s="282"/>
      <c r="V3" s="282"/>
      <c r="W3" s="282"/>
      <c r="X3" s="240"/>
      <c r="Y3" s="282"/>
      <c r="Z3" s="282"/>
      <c r="AA3" s="282"/>
      <c r="AB3" s="282"/>
      <c r="AC3" s="240"/>
      <c r="AD3" s="282"/>
      <c r="AI3" s="282"/>
      <c r="AJ3" s="43"/>
      <c r="AK3" s="43"/>
      <c r="AL3" s="43"/>
      <c r="AM3" s="50"/>
      <c r="AN3" s="50"/>
      <c r="AO3" s="282"/>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18"/>
      <c r="BU3" s="18"/>
      <c r="BV3" s="18"/>
      <c r="BW3" s="18"/>
      <c r="BX3" s="18"/>
      <c r="BY3" s="18"/>
      <c r="BZ3" s="18"/>
      <c r="CA3" s="18"/>
      <c r="CB3" s="18"/>
      <c r="CC3" s="18"/>
      <c r="CD3" s="18"/>
      <c r="CE3" s="18"/>
      <c r="CF3" s="18"/>
      <c r="CG3" s="18"/>
      <c r="CH3" s="18"/>
      <c r="CI3" s="18"/>
      <c r="CJ3" s="18"/>
      <c r="CP3" s="18"/>
      <c r="CQ3" s="18"/>
      <c r="CR3" s="18"/>
      <c r="CS3" s="18"/>
      <c r="DN3" s="204"/>
      <c r="DO3" s="204"/>
      <c r="DP3" s="204"/>
      <c r="DQ3" s="204"/>
      <c r="DR3" s="204"/>
      <c r="DS3" s="204"/>
    </row>
    <row r="4" spans="1:123" s="125" customFormat="1" ht="2.4500000000000002" customHeight="1" thickBot="1">
      <c r="A4" s="307"/>
      <c r="B4" s="10"/>
      <c r="C4" s="242"/>
      <c r="D4" s="241"/>
      <c r="E4" s="137"/>
      <c r="F4" s="45"/>
      <c r="G4" s="242"/>
      <c r="H4" s="243"/>
      <c r="N4" s="241"/>
      <c r="O4" s="242"/>
      <c r="P4" s="241"/>
      <c r="Q4" s="322"/>
      <c r="R4" s="322"/>
      <c r="S4" s="137"/>
      <c r="U4" s="282"/>
      <c r="V4" s="282"/>
      <c r="W4" s="282"/>
      <c r="X4" s="240"/>
      <c r="Y4" s="282"/>
      <c r="Z4" s="282"/>
      <c r="AA4" s="282"/>
      <c r="AB4" s="282"/>
      <c r="AC4" s="240"/>
      <c r="AD4" s="282"/>
      <c r="AI4" s="282"/>
      <c r="AJ4" s="43"/>
      <c r="AK4" s="43"/>
      <c r="AL4" s="43"/>
      <c r="AM4" s="50"/>
      <c r="AN4" s="50"/>
      <c r="AO4" s="282"/>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18"/>
      <c r="BU4" s="18"/>
      <c r="BV4" s="18"/>
      <c r="BW4" s="18"/>
      <c r="BX4" s="18"/>
      <c r="BY4" s="18"/>
      <c r="BZ4" s="18"/>
      <c r="CA4" s="18"/>
      <c r="CB4" s="18"/>
      <c r="CC4" s="18"/>
      <c r="CD4" s="18"/>
      <c r="CE4" s="18"/>
      <c r="CF4" s="18"/>
      <c r="CG4" s="18"/>
      <c r="CH4" s="18"/>
      <c r="CI4" s="18"/>
      <c r="CJ4" s="18"/>
      <c r="CP4" s="18"/>
      <c r="CQ4" s="18"/>
      <c r="CR4" s="18"/>
      <c r="CS4" s="18"/>
      <c r="DN4" s="204"/>
      <c r="DO4" s="204"/>
      <c r="DP4" s="204"/>
      <c r="DQ4" s="204"/>
      <c r="DR4" s="204"/>
      <c r="DS4" s="204"/>
    </row>
    <row r="5" spans="1:123" s="125" customFormat="1" ht="18" customHeight="1">
      <c r="A5" s="191"/>
      <c r="B5" s="14"/>
      <c r="C5" s="409">
        <f>Tabelle1!$I$10</f>
        <v>10</v>
      </c>
      <c r="D5" s="329"/>
      <c r="E5" s="410">
        <f>Tabelle1!J10</f>
        <v>10</v>
      </c>
      <c r="F5" s="329"/>
      <c r="G5" s="410">
        <f>Tabelle1!K10</f>
        <v>40</v>
      </c>
      <c r="H5" s="330"/>
      <c r="I5" s="410">
        <f>Tabelle1!L10</f>
        <v>100</v>
      </c>
      <c r="J5" s="331"/>
      <c r="K5" s="332">
        <f>Tabelle1!M10</f>
        <v>100</v>
      </c>
      <c r="L5" s="331"/>
      <c r="M5" s="332">
        <f>Tabelle1!N10</f>
        <v>100</v>
      </c>
      <c r="N5" s="195"/>
      <c r="O5" s="418" t="s">
        <v>84</v>
      </c>
      <c r="P5" s="324"/>
      <c r="Q5" s="411"/>
      <c r="R5" s="322"/>
      <c r="S5" s="137"/>
      <c r="U5" s="282"/>
      <c r="V5" s="282"/>
      <c r="W5" s="282"/>
      <c r="X5" s="282"/>
      <c r="Y5" s="282"/>
      <c r="Z5" s="282"/>
      <c r="AA5" s="282"/>
      <c r="AB5" s="282"/>
      <c r="AC5" s="282"/>
      <c r="AD5" s="282"/>
      <c r="AI5" s="282"/>
      <c r="AJ5" s="43"/>
      <c r="AK5" s="43"/>
      <c r="AL5" s="50"/>
      <c r="AM5" s="47"/>
      <c r="AN5" s="47"/>
      <c r="AO5" s="282"/>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18"/>
      <c r="BU5" s="18"/>
      <c r="BV5" s="18"/>
      <c r="BW5" s="18"/>
      <c r="BX5" s="18"/>
      <c r="BY5" s="18"/>
      <c r="BZ5" s="18"/>
      <c r="CA5" s="18"/>
      <c r="CB5" s="18"/>
      <c r="CC5" s="18"/>
      <c r="CD5" s="18"/>
      <c r="CE5" s="18"/>
      <c r="CF5" s="18"/>
      <c r="CG5" s="18"/>
      <c r="CH5" s="18"/>
      <c r="CI5" s="18"/>
      <c r="CJ5" s="18"/>
      <c r="CP5" s="18"/>
      <c r="CQ5" s="18"/>
      <c r="CR5" s="18"/>
      <c r="CS5" s="18"/>
      <c r="DN5" s="204"/>
      <c r="DO5" s="204"/>
      <c r="DP5" s="204"/>
      <c r="DQ5" s="204"/>
      <c r="DR5" s="204"/>
      <c r="DS5" s="204"/>
    </row>
    <row r="6" spans="1:123" s="125" customFormat="1" ht="2.4500000000000002" customHeight="1">
      <c r="A6" s="191"/>
      <c r="B6" s="14"/>
      <c r="C6" s="329"/>
      <c r="D6" s="329"/>
      <c r="E6" s="329"/>
      <c r="F6" s="329"/>
      <c r="G6" s="329"/>
      <c r="H6" s="330"/>
      <c r="I6" s="329"/>
      <c r="J6" s="333"/>
      <c r="K6" s="333"/>
      <c r="L6" s="333"/>
      <c r="M6" s="333"/>
      <c r="N6" s="195"/>
      <c r="O6" s="419"/>
      <c r="P6" s="195"/>
      <c r="Q6" s="250"/>
      <c r="R6" s="323"/>
      <c r="S6" s="137"/>
      <c r="U6" s="282"/>
      <c r="V6" s="282"/>
      <c r="W6" s="282"/>
      <c r="X6" s="282"/>
      <c r="Y6" s="282"/>
      <c r="Z6" s="282"/>
      <c r="AA6" s="282"/>
      <c r="AB6" s="282"/>
      <c r="AC6" s="282"/>
      <c r="AD6" s="282"/>
      <c r="AI6" s="282"/>
      <c r="AJ6" s="43"/>
      <c r="AK6" s="43"/>
      <c r="AL6" s="50"/>
      <c r="AM6" s="47"/>
      <c r="AN6" s="47"/>
      <c r="AO6" s="282"/>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18"/>
      <c r="BU6" s="18"/>
      <c r="BV6" s="18"/>
      <c r="BW6" s="18"/>
      <c r="BX6" s="18"/>
      <c r="BY6" s="18"/>
      <c r="BZ6" s="18"/>
      <c r="CA6" s="18"/>
      <c r="CB6" s="18"/>
      <c r="CC6" s="18"/>
      <c r="CD6" s="18"/>
      <c r="CE6" s="18"/>
      <c r="CF6" s="18"/>
      <c r="CG6" s="18"/>
      <c r="CH6" s="18"/>
      <c r="CI6" s="18"/>
      <c r="CJ6" s="18"/>
      <c r="CP6" s="18"/>
      <c r="CQ6" s="18"/>
      <c r="CR6" s="18"/>
      <c r="CS6" s="18"/>
      <c r="DN6" s="204"/>
      <c r="DO6" s="204"/>
      <c r="DP6" s="204"/>
      <c r="DQ6" s="204"/>
      <c r="DR6" s="204"/>
      <c r="DS6" s="204"/>
    </row>
    <row r="7" spans="1:123" s="125" customFormat="1" ht="19.5" customHeight="1">
      <c r="A7" s="191"/>
      <c r="B7" s="14"/>
      <c r="C7" s="337">
        <f>Tabelle1!I11</f>
        <v>12.310852000000001</v>
      </c>
      <c r="D7" s="338"/>
      <c r="E7" s="337">
        <f>Tabelle1!J11</f>
        <v>11.972906999999999</v>
      </c>
      <c r="F7" s="338"/>
      <c r="G7" s="337">
        <f>Tabelle1!K11</f>
        <v>10.708028000000002</v>
      </c>
      <c r="H7" s="330"/>
      <c r="I7" s="337" t="str">
        <f>Tabelle1!L11</f>
        <v>Direktvermarktung</v>
      </c>
      <c r="J7" s="333"/>
      <c r="K7" s="337">
        <f>Tabelle1!M11</f>
        <v>8.5258690000000001</v>
      </c>
      <c r="L7" s="333"/>
      <c r="M7" s="337">
        <f>Tabelle1!N11</f>
        <v>0</v>
      </c>
      <c r="N7" s="239"/>
      <c r="O7" s="420" t="s">
        <v>81</v>
      </c>
      <c r="P7" s="237"/>
      <c r="Q7" s="412"/>
      <c r="S7" s="271"/>
      <c r="T7" s="114"/>
      <c r="U7" s="282"/>
      <c r="V7" s="282"/>
      <c r="W7" s="46"/>
      <c r="X7" s="282"/>
      <c r="Y7" s="282"/>
      <c r="Z7" s="282"/>
      <c r="AA7" s="238"/>
      <c r="AB7" s="46"/>
      <c r="AC7" s="282"/>
      <c r="AD7" s="282"/>
      <c r="AI7" s="282"/>
      <c r="AJ7" s="43"/>
      <c r="AK7" s="43"/>
      <c r="AL7" s="50"/>
      <c r="AM7" s="47"/>
      <c r="AN7" s="47"/>
      <c r="AO7" s="282"/>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18"/>
      <c r="BU7" s="18"/>
      <c r="BV7" s="18"/>
      <c r="BW7" s="18"/>
      <c r="BX7" s="18"/>
      <c r="BY7" s="18"/>
      <c r="BZ7" s="18"/>
      <c r="CA7" s="18"/>
      <c r="CB7" s="18"/>
      <c r="CC7" s="18"/>
      <c r="CD7" s="18"/>
      <c r="CE7" s="18"/>
      <c r="CF7" s="18"/>
      <c r="CG7" s="18"/>
      <c r="CH7" s="18"/>
      <c r="CI7" s="18"/>
      <c r="CJ7" s="18"/>
      <c r="CN7" s="18"/>
      <c r="CO7" s="18"/>
      <c r="CP7" s="18"/>
      <c r="CQ7" s="18"/>
      <c r="CR7" s="18"/>
      <c r="CS7" s="18"/>
      <c r="DN7" s="204"/>
      <c r="DO7" s="204"/>
      <c r="DP7" s="204"/>
      <c r="DQ7" s="204"/>
      <c r="DR7" s="204"/>
      <c r="DS7" s="204"/>
    </row>
    <row r="8" spans="1:123" s="125" customFormat="1" ht="2.4500000000000002" customHeight="1">
      <c r="A8" s="191"/>
      <c r="B8" s="14"/>
      <c r="C8" s="21"/>
      <c r="D8" s="21"/>
      <c r="E8" s="21"/>
      <c r="F8" s="21"/>
      <c r="G8" s="21"/>
      <c r="H8" s="21"/>
      <c r="I8" s="237"/>
      <c r="J8" s="237"/>
      <c r="K8" s="237"/>
      <c r="L8" s="237"/>
      <c r="M8" s="237"/>
      <c r="N8" s="237"/>
      <c r="O8" s="419"/>
      <c r="P8" s="237"/>
      <c r="Q8" s="250"/>
      <c r="S8" s="114"/>
      <c r="T8" s="114"/>
      <c r="U8" s="282"/>
      <c r="V8" s="282"/>
      <c r="W8" s="46"/>
      <c r="X8" s="282"/>
      <c r="Y8" s="282"/>
      <c r="Z8" s="282"/>
      <c r="AA8" s="282"/>
      <c r="AB8" s="46"/>
      <c r="AC8" s="282"/>
      <c r="AD8" s="282"/>
      <c r="AI8" s="282"/>
      <c r="AJ8" s="43"/>
      <c r="AK8" s="43"/>
      <c r="AL8" s="50"/>
      <c r="AM8" s="47"/>
      <c r="AN8" s="47"/>
      <c r="AO8" s="282"/>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18"/>
      <c r="BU8" s="18"/>
      <c r="BV8" s="18"/>
      <c r="BW8" s="18"/>
      <c r="BX8" s="18"/>
      <c r="BY8" s="18"/>
      <c r="BZ8" s="18"/>
      <c r="CA8" s="18"/>
      <c r="CB8" s="18"/>
      <c r="CC8" s="18"/>
      <c r="CD8" s="18"/>
      <c r="CE8" s="18"/>
      <c r="CF8" s="18"/>
      <c r="CG8" s="18"/>
      <c r="CH8" s="18"/>
      <c r="CI8" s="18"/>
      <c r="CJ8" s="18"/>
      <c r="CN8" s="18"/>
      <c r="CO8" s="18"/>
      <c r="CP8" s="18"/>
      <c r="CQ8" s="18"/>
      <c r="CR8" s="18"/>
      <c r="CS8" s="18"/>
      <c r="DN8" s="204"/>
      <c r="DO8" s="204"/>
      <c r="DP8" s="204"/>
      <c r="DQ8" s="204"/>
      <c r="DR8" s="204"/>
      <c r="DS8" s="204"/>
    </row>
    <row r="9" spans="1:123" s="125" customFormat="1" ht="20.25" customHeight="1">
      <c r="A9" s="191"/>
      <c r="B9" s="14"/>
      <c r="C9" s="756" t="str">
        <f>Tabelle1!O14</f>
        <v>Boni für Eigenverbrauch</v>
      </c>
      <c r="D9" s="756"/>
      <c r="E9" s="756"/>
      <c r="F9" s="756"/>
      <c r="G9" s="756"/>
      <c r="H9" s="756"/>
      <c r="I9" s="756"/>
      <c r="J9" s="756"/>
      <c r="K9" s="756"/>
      <c r="L9" s="756"/>
      <c r="M9" s="756"/>
      <c r="N9" s="237"/>
      <c r="O9" s="420" t="s">
        <v>78</v>
      </c>
      <c r="P9" s="237"/>
      <c r="Q9" s="412"/>
      <c r="S9" s="114"/>
      <c r="T9" s="114"/>
      <c r="U9" s="282"/>
      <c r="V9" s="282"/>
      <c r="W9" s="282"/>
      <c r="X9" s="311"/>
      <c r="Y9" s="311"/>
      <c r="Z9" s="282"/>
      <c r="AA9" s="282"/>
      <c r="AB9" s="282"/>
      <c r="AC9" s="311"/>
      <c r="AD9" s="311"/>
      <c r="AI9" s="282"/>
      <c r="AJ9" s="43"/>
      <c r="AK9" s="43"/>
      <c r="AL9" s="50"/>
      <c r="AM9" s="47"/>
      <c r="AN9" s="47"/>
      <c r="AO9" s="43"/>
      <c r="AP9" s="69"/>
      <c r="AQ9" s="69"/>
      <c r="AR9" s="69"/>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18"/>
      <c r="BU9" s="18"/>
      <c r="BV9" s="18"/>
      <c r="BW9" s="18"/>
      <c r="BX9" s="18"/>
      <c r="BY9" s="18"/>
      <c r="BZ9" s="18"/>
      <c r="CA9" s="18"/>
      <c r="CB9" s="18"/>
      <c r="CC9" s="18"/>
      <c r="CD9" s="18"/>
      <c r="CE9" s="18"/>
      <c r="CF9" s="18"/>
      <c r="CG9" s="18"/>
      <c r="CH9" s="18"/>
      <c r="CI9" s="18"/>
      <c r="CJ9" s="18"/>
      <c r="CN9" s="18"/>
      <c r="CO9" s="18"/>
      <c r="CP9" s="18"/>
      <c r="CQ9" s="18"/>
      <c r="CR9" s="18"/>
      <c r="CS9" s="18"/>
      <c r="DN9" s="204"/>
      <c r="DO9" s="204"/>
      <c r="DP9" s="204"/>
      <c r="DQ9" s="204"/>
      <c r="DR9" s="204"/>
      <c r="DS9" s="204"/>
    </row>
    <row r="10" spans="1:123" s="125" customFormat="1" ht="2.4500000000000002" customHeight="1">
      <c r="A10" s="191"/>
      <c r="B10" s="14"/>
      <c r="C10" s="21"/>
      <c r="D10" s="21"/>
      <c r="E10" s="21"/>
      <c r="F10" s="21"/>
      <c r="G10" s="21"/>
      <c r="H10" s="21"/>
      <c r="I10" s="237"/>
      <c r="J10" s="237"/>
      <c r="K10" s="237"/>
      <c r="L10" s="237"/>
      <c r="M10" s="237"/>
      <c r="N10" s="237"/>
      <c r="O10" s="211"/>
      <c r="P10" s="237"/>
      <c r="Q10" s="250"/>
      <c r="S10" s="114"/>
      <c r="T10" s="114"/>
      <c r="U10" s="282"/>
      <c r="V10" s="282"/>
      <c r="W10" s="282"/>
      <c r="X10" s="311"/>
      <c r="Y10" s="311"/>
      <c r="Z10" s="282"/>
      <c r="AA10" s="282"/>
      <c r="AB10" s="282"/>
      <c r="AC10" s="311"/>
      <c r="AD10" s="311"/>
      <c r="AI10" s="282"/>
      <c r="AJ10" s="43"/>
      <c r="AK10" s="43"/>
      <c r="AL10" s="50"/>
      <c r="AM10" s="47"/>
      <c r="AN10" s="47"/>
      <c r="AO10" s="43"/>
      <c r="AP10" s="69"/>
      <c r="AQ10" s="69"/>
      <c r="AR10" s="69"/>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18"/>
      <c r="BU10" s="18"/>
      <c r="BV10" s="18"/>
      <c r="BW10" s="18"/>
      <c r="BX10" s="18"/>
      <c r="BY10" s="18"/>
      <c r="BZ10" s="18"/>
      <c r="CA10" s="18"/>
      <c r="CB10" s="18"/>
      <c r="CC10" s="18"/>
      <c r="CD10" s="18"/>
      <c r="CE10" s="18"/>
      <c r="CF10" s="18"/>
      <c r="CG10" s="18"/>
      <c r="CH10" s="18"/>
      <c r="CI10" s="18"/>
      <c r="CJ10" s="18"/>
      <c r="CN10" s="18"/>
      <c r="CO10" s="18"/>
      <c r="CP10" s="18"/>
      <c r="CQ10" s="18"/>
      <c r="CR10" s="18"/>
      <c r="CS10" s="18"/>
      <c r="DN10" s="204"/>
      <c r="DO10" s="204"/>
      <c r="DP10" s="204"/>
      <c r="DQ10" s="204"/>
      <c r="DR10" s="204"/>
      <c r="DS10" s="204"/>
    </row>
    <row r="11" spans="1:123" s="125" customFormat="1" ht="19.5" customHeight="1">
      <c r="A11" s="191"/>
      <c r="B11" s="14"/>
      <c r="C11" s="737">
        <f>Tabelle1!$O$10</f>
        <v>0</v>
      </c>
      <c r="D11" s="737"/>
      <c r="E11" s="737"/>
      <c r="F11" s="330"/>
      <c r="G11" s="738">
        <f>Tabelle1!Q10</f>
        <v>0</v>
      </c>
      <c r="H11" s="738"/>
      <c r="I11" s="738"/>
      <c r="J11" s="334"/>
      <c r="K11" s="755">
        <f>Tabelle1!S10</f>
        <v>0</v>
      </c>
      <c r="L11" s="755"/>
      <c r="M11" s="755"/>
      <c r="N11" s="237"/>
      <c r="O11" s="420" t="s">
        <v>76</v>
      </c>
      <c r="P11" s="237"/>
      <c r="Q11" s="412"/>
      <c r="S11" s="271"/>
      <c r="T11" s="272"/>
      <c r="U11" s="282"/>
      <c r="V11" s="308"/>
      <c r="W11" s="282"/>
      <c r="X11" s="311"/>
      <c r="Y11" s="311"/>
      <c r="Z11" s="282"/>
      <c r="AA11" s="308"/>
      <c r="AB11" s="282"/>
      <c r="AC11" s="311"/>
      <c r="AD11" s="311"/>
      <c r="AI11" s="282"/>
      <c r="AJ11" s="43"/>
      <c r="AK11" s="43"/>
      <c r="AL11" s="50"/>
      <c r="AM11" s="47"/>
      <c r="AN11" s="47"/>
      <c r="AO11" s="282"/>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18"/>
      <c r="BU11" s="18"/>
      <c r="BV11" s="18"/>
      <c r="BW11" s="18"/>
      <c r="BX11" s="18"/>
      <c r="BY11" s="18"/>
      <c r="BZ11" s="18"/>
      <c r="CA11" s="18"/>
      <c r="CB11" s="18"/>
      <c r="CC11" s="18"/>
      <c r="CD11" s="18"/>
      <c r="CE11" s="18"/>
      <c r="CF11" s="18"/>
      <c r="CG11" s="18"/>
      <c r="CH11" s="18"/>
      <c r="CI11" s="18"/>
      <c r="CJ11" s="18"/>
      <c r="CN11" s="18"/>
      <c r="CO11" s="18"/>
      <c r="CP11" s="18"/>
      <c r="CQ11" s="18"/>
      <c r="CR11" s="18"/>
      <c r="CS11" s="18"/>
      <c r="DN11" s="204"/>
      <c r="DO11" s="204"/>
      <c r="DP11" s="204"/>
      <c r="DQ11" s="204"/>
      <c r="DR11" s="204"/>
      <c r="DS11" s="204"/>
    </row>
    <row r="12" spans="1:123" s="18" customFormat="1" ht="2.4500000000000002" customHeight="1">
      <c r="A12" s="191"/>
      <c r="B12" s="14"/>
      <c r="C12" s="330"/>
      <c r="D12" s="330"/>
      <c r="E12" s="330"/>
      <c r="F12" s="330"/>
      <c r="G12" s="330"/>
      <c r="H12" s="330"/>
      <c r="I12" s="334"/>
      <c r="J12" s="334"/>
      <c r="K12" s="334"/>
      <c r="L12" s="334"/>
      <c r="M12" s="334"/>
      <c r="N12" s="237"/>
      <c r="O12" s="421"/>
      <c r="P12" s="237"/>
      <c r="Q12" s="250"/>
      <c r="S12" s="271"/>
      <c r="T12" s="273"/>
      <c r="U12" s="282"/>
      <c r="V12" s="308"/>
      <c r="W12" s="282"/>
      <c r="X12" s="311"/>
      <c r="Y12" s="311"/>
      <c r="Z12" s="282"/>
      <c r="AA12" s="308"/>
      <c r="AB12" s="282"/>
      <c r="AC12" s="311"/>
      <c r="AD12" s="311"/>
      <c r="AI12" s="282"/>
      <c r="AJ12" s="43"/>
      <c r="AK12" s="43"/>
      <c r="AL12" s="50"/>
      <c r="AM12" s="47"/>
      <c r="AN12" s="47"/>
      <c r="AO12" s="282"/>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DN12" s="201"/>
      <c r="DO12" s="201"/>
      <c r="DP12" s="201"/>
      <c r="DQ12" s="201"/>
      <c r="DR12" s="201"/>
      <c r="DS12" s="201"/>
    </row>
    <row r="13" spans="1:123" s="125" customFormat="1" ht="17.100000000000001" customHeight="1">
      <c r="A13" s="191"/>
      <c r="B13" s="14"/>
      <c r="C13" s="335" t="str">
        <f>Tabelle1!O11</f>
        <v/>
      </c>
      <c r="D13" s="330"/>
      <c r="E13" s="336" t="str">
        <f>Tabelle1!P11</f>
        <v/>
      </c>
      <c r="F13" s="330"/>
      <c r="G13" s="335" t="str">
        <f>Tabelle1!Q11</f>
        <v/>
      </c>
      <c r="H13" s="330"/>
      <c r="I13" s="336" t="str">
        <f>Tabelle1!R11</f>
        <v/>
      </c>
      <c r="J13" s="334"/>
      <c r="K13" s="335" t="str">
        <f>Tabelle1!S11</f>
        <v/>
      </c>
      <c r="L13" s="334"/>
      <c r="M13" s="336" t="str">
        <f>Tabelle1!T11</f>
        <v/>
      </c>
      <c r="N13" s="237"/>
      <c r="O13" s="420" t="s">
        <v>75</v>
      </c>
      <c r="P13" s="237"/>
      <c r="Q13" s="412"/>
      <c r="S13" s="274"/>
      <c r="T13" s="275"/>
      <c r="U13" s="282"/>
      <c r="V13" s="282"/>
      <c r="W13" s="282"/>
      <c r="X13" s="311"/>
      <c r="Y13" s="311"/>
      <c r="Z13" s="282"/>
      <c r="AA13" s="282"/>
      <c r="AB13" s="282"/>
      <c r="AC13" s="311"/>
      <c r="AD13" s="311"/>
      <c r="AI13" s="282"/>
      <c r="AJ13" s="43"/>
      <c r="AK13" s="43"/>
      <c r="AL13" s="50"/>
      <c r="AM13" s="47"/>
      <c r="AN13" s="47"/>
      <c r="AO13" s="282"/>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18"/>
      <c r="BU13" s="18"/>
      <c r="BV13" s="18"/>
      <c r="BW13" s="18"/>
      <c r="BX13" s="18"/>
      <c r="BY13" s="18"/>
      <c r="BZ13" s="18"/>
      <c r="CA13" s="18"/>
      <c r="CB13" s="18"/>
      <c r="CC13" s="18"/>
      <c r="CD13" s="18"/>
      <c r="CE13" s="18"/>
      <c r="CF13" s="18"/>
      <c r="CG13" s="18"/>
      <c r="CH13" s="18"/>
      <c r="CI13" s="18"/>
      <c r="CJ13" s="18"/>
      <c r="CN13" s="18"/>
      <c r="CO13" s="18"/>
      <c r="CP13" s="18"/>
      <c r="CQ13" s="18"/>
      <c r="CR13" s="18"/>
      <c r="CS13" s="18"/>
      <c r="DN13" s="204"/>
      <c r="DO13" s="204"/>
      <c r="DP13" s="204"/>
      <c r="DQ13" s="204"/>
      <c r="DR13" s="204"/>
      <c r="DS13" s="204"/>
    </row>
    <row r="14" spans="1:123" s="18" customFormat="1" ht="2.4500000000000002" customHeight="1">
      <c r="A14" s="191"/>
      <c r="B14" s="14"/>
      <c r="C14" s="21"/>
      <c r="D14" s="21"/>
      <c r="E14" s="21"/>
      <c r="F14" s="21"/>
      <c r="G14" s="21"/>
      <c r="H14" s="21"/>
      <c r="I14" s="237"/>
      <c r="J14" s="237"/>
      <c r="K14" s="237"/>
      <c r="L14" s="237"/>
      <c r="M14" s="237"/>
      <c r="N14" s="237"/>
      <c r="O14" s="421"/>
      <c r="P14" s="237"/>
      <c r="Q14" s="250"/>
      <c r="S14" s="274"/>
      <c r="T14" s="271"/>
      <c r="U14" s="282"/>
      <c r="V14" s="282"/>
      <c r="W14" s="282"/>
      <c r="X14" s="311"/>
      <c r="Y14" s="311"/>
      <c r="Z14" s="282"/>
      <c r="AA14" s="282"/>
      <c r="AB14" s="282"/>
      <c r="AC14" s="311"/>
      <c r="AD14" s="311"/>
      <c r="AI14" s="282"/>
      <c r="AJ14" s="43"/>
      <c r="AK14" s="43"/>
      <c r="AL14" s="50"/>
      <c r="AM14" s="47"/>
      <c r="AN14" s="47"/>
      <c r="AO14" s="282"/>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DN14" s="201"/>
      <c r="DO14" s="201"/>
      <c r="DP14" s="201"/>
      <c r="DQ14" s="201"/>
      <c r="DR14" s="201"/>
      <c r="DS14" s="201"/>
    </row>
    <row r="15" spans="1:123" s="125" customFormat="1" ht="16.5" customHeight="1">
      <c r="A15" s="191"/>
      <c r="B15" s="14"/>
      <c r="C15" s="337">
        <f>Tabelle1!O12</f>
        <v>0</v>
      </c>
      <c r="D15" s="338"/>
      <c r="E15" s="337">
        <f>Tabelle1!P12</f>
        <v>0</v>
      </c>
      <c r="F15" s="338"/>
      <c r="G15" s="337">
        <f>Tabelle1!Q12</f>
        <v>0</v>
      </c>
      <c r="H15" s="330"/>
      <c r="I15" s="337">
        <f>Tabelle1!R12</f>
        <v>0</v>
      </c>
      <c r="J15" s="333"/>
      <c r="K15" s="337">
        <f>Tabelle1!S12</f>
        <v>0</v>
      </c>
      <c r="L15" s="333"/>
      <c r="M15" s="337">
        <f>Tabelle1!T12</f>
        <v>0</v>
      </c>
      <c r="N15" s="237"/>
      <c r="O15" s="420" t="s">
        <v>113</v>
      </c>
      <c r="P15" s="237"/>
      <c r="Q15" s="412"/>
      <c r="S15" s="114"/>
      <c r="T15" s="276"/>
      <c r="U15" s="282"/>
      <c r="V15" s="282"/>
      <c r="W15" s="282"/>
      <c r="X15" s="311"/>
      <c r="Y15" s="311"/>
      <c r="Z15" s="282"/>
      <c r="AA15" s="282"/>
      <c r="AB15" s="282"/>
      <c r="AC15" s="311"/>
      <c r="AD15" s="311"/>
      <c r="AI15" s="282"/>
      <c r="AJ15" s="43"/>
      <c r="AK15" s="43"/>
      <c r="AL15" s="50"/>
      <c r="AM15" s="49"/>
      <c r="AN15" s="47"/>
      <c r="AO15" s="282"/>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18"/>
      <c r="BU15" s="18"/>
      <c r="BV15" s="18"/>
      <c r="BW15" s="18"/>
      <c r="BX15" s="18"/>
      <c r="BY15" s="18"/>
      <c r="BZ15" s="18"/>
      <c r="CA15" s="18"/>
      <c r="CB15" s="18"/>
      <c r="CC15" s="18"/>
      <c r="CD15" s="18"/>
      <c r="CE15" s="18"/>
      <c r="CF15" s="18"/>
      <c r="CG15" s="18"/>
      <c r="CH15" s="18"/>
      <c r="CI15" s="18"/>
      <c r="CJ15" s="18"/>
      <c r="CN15" s="18"/>
      <c r="CO15" s="18"/>
      <c r="CP15" s="18"/>
      <c r="CQ15" s="18"/>
      <c r="CR15" s="18"/>
      <c r="CS15" s="18"/>
      <c r="DN15" s="204"/>
      <c r="DO15" s="204"/>
      <c r="DP15" s="204"/>
      <c r="DQ15" s="204"/>
      <c r="DR15" s="204"/>
      <c r="DS15" s="204"/>
    </row>
    <row r="16" spans="1:123" s="18" customFormat="1" ht="2.4500000000000002" customHeight="1">
      <c r="A16" s="191"/>
      <c r="B16" s="14"/>
      <c r="C16" s="21"/>
      <c r="D16" s="21"/>
      <c r="E16" s="21"/>
      <c r="F16" s="21"/>
      <c r="G16" s="21"/>
      <c r="H16" s="21"/>
      <c r="I16" s="237"/>
      <c r="J16" s="237"/>
      <c r="K16" s="237"/>
      <c r="L16" s="237"/>
      <c r="M16" s="237"/>
      <c r="N16" s="237"/>
      <c r="O16" s="419"/>
      <c r="P16" s="237"/>
      <c r="Q16" s="250"/>
      <c r="S16" s="114"/>
      <c r="T16" s="271"/>
      <c r="U16" s="282"/>
      <c r="V16" s="282"/>
      <c r="W16" s="282"/>
      <c r="X16" s="311"/>
      <c r="Y16" s="311"/>
      <c r="Z16" s="282"/>
      <c r="AA16" s="282"/>
      <c r="AB16" s="282"/>
      <c r="AC16" s="311"/>
      <c r="AD16" s="311"/>
      <c r="AI16" s="282"/>
      <c r="AJ16" s="43"/>
      <c r="AK16" s="43"/>
      <c r="AL16" s="50"/>
      <c r="AM16" s="49"/>
      <c r="AN16" s="47"/>
      <c r="AO16" s="282"/>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DN16" s="201"/>
      <c r="DO16" s="201"/>
      <c r="DP16" s="201"/>
      <c r="DQ16" s="201"/>
      <c r="DR16" s="201"/>
      <c r="DS16" s="201"/>
    </row>
    <row r="17" spans="1:123" s="125" customFormat="1" ht="16.5" customHeight="1">
      <c r="B17" s="18"/>
      <c r="C17" s="125" t="str">
        <f>CONCATENATE(IF(Tabelle1!H12,"Marktintegrationsmodel, Reduzierung der max. Einspeisevergütung auf ",""),Tabelle1!L12*100," %")</f>
        <v>100 %</v>
      </c>
      <c r="D17" s="18"/>
      <c r="F17" s="18"/>
      <c r="H17" s="18"/>
      <c r="J17" s="18"/>
      <c r="L17" s="18"/>
      <c r="N17" s="18"/>
      <c r="O17" s="420" t="s">
        <v>114</v>
      </c>
      <c r="P17" s="234"/>
      <c r="Q17" s="412"/>
      <c r="S17" s="114"/>
      <c r="T17" s="277"/>
      <c r="U17" s="282"/>
      <c r="V17" s="282">
        <f>IF(X7&gt;10000,X7-10000,0)</f>
        <v>0</v>
      </c>
      <c r="W17" s="282"/>
      <c r="X17" s="311"/>
      <c r="Y17" s="311"/>
      <c r="Z17" s="311"/>
      <c r="AA17" s="282"/>
      <c r="AB17" s="282"/>
      <c r="AC17" s="311"/>
      <c r="AD17" s="311"/>
      <c r="AI17" s="282"/>
      <c r="AJ17" s="43"/>
      <c r="AK17" s="43"/>
      <c r="AL17" s="50"/>
      <c r="AM17" s="49"/>
      <c r="AN17" s="47"/>
      <c r="AO17" s="43"/>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18"/>
      <c r="BU17" s="18"/>
      <c r="BV17" s="18"/>
      <c r="BW17" s="18"/>
      <c r="BX17" s="18"/>
      <c r="BY17" s="18"/>
      <c r="BZ17" s="18"/>
      <c r="CA17" s="18"/>
      <c r="CB17" s="18"/>
      <c r="CC17" s="18"/>
      <c r="CD17" s="18"/>
      <c r="CE17" s="18"/>
      <c r="CF17" s="18"/>
      <c r="CG17" s="18"/>
      <c r="CH17" s="18"/>
      <c r="CI17" s="18"/>
      <c r="CJ17" s="18"/>
      <c r="CN17" s="18"/>
      <c r="CO17" s="18"/>
      <c r="CP17" s="18"/>
      <c r="CQ17" s="18"/>
      <c r="CR17" s="18"/>
      <c r="CS17" s="18"/>
      <c r="DN17" s="204"/>
      <c r="DO17" s="204"/>
      <c r="DP17" s="204"/>
      <c r="DQ17" s="204"/>
      <c r="DR17" s="204"/>
      <c r="DS17" s="204"/>
    </row>
    <row r="18" spans="1:123" s="18" customFormat="1" ht="2.4500000000000002" customHeight="1">
      <c r="A18" s="125"/>
      <c r="B18" s="405"/>
      <c r="C18" s="405"/>
      <c r="D18" s="405"/>
      <c r="E18" s="405"/>
      <c r="F18" s="405"/>
      <c r="G18" s="405"/>
      <c r="H18" s="405"/>
      <c r="I18" s="405"/>
      <c r="J18" s="405"/>
      <c r="K18" s="405"/>
      <c r="L18" s="405"/>
      <c r="M18" s="405"/>
      <c r="N18" s="405"/>
      <c r="O18" s="211"/>
      <c r="P18" s="234"/>
      <c r="Q18" s="250"/>
      <c r="S18" s="114"/>
      <c r="T18" s="271"/>
      <c r="U18" s="282"/>
      <c r="V18" s="282"/>
      <c r="W18" s="282"/>
      <c r="X18" s="311"/>
      <c r="Y18" s="311"/>
      <c r="Z18" s="311"/>
      <c r="AA18" s="282"/>
      <c r="AB18" s="282"/>
      <c r="AC18" s="311"/>
      <c r="AD18" s="311"/>
      <c r="AI18" s="282"/>
      <c r="AJ18" s="43"/>
      <c r="AK18" s="43"/>
      <c r="AL18" s="50"/>
      <c r="AM18" s="49"/>
      <c r="AN18" s="47"/>
      <c r="AO18" s="43"/>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DN18" s="201"/>
      <c r="DO18" s="201"/>
      <c r="DP18" s="201"/>
      <c r="DQ18" s="201"/>
      <c r="DR18" s="201"/>
      <c r="DS18" s="201"/>
    </row>
    <row r="19" spans="1:123" s="125" customFormat="1" ht="17.100000000000001" customHeight="1">
      <c r="A19" s="137"/>
      <c r="B19" s="405"/>
      <c r="C19" s="341" t="s">
        <v>101</v>
      </c>
      <c r="D19" s="25"/>
      <c r="E19" s="757"/>
      <c r="F19" s="757"/>
      <c r="G19" s="757"/>
      <c r="H19" s="757"/>
      <c r="I19" s="757"/>
      <c r="J19" s="405"/>
      <c r="N19" s="405"/>
      <c r="O19" s="420" t="s">
        <v>115</v>
      </c>
      <c r="P19" s="45"/>
      <c r="Q19" s="412"/>
      <c r="S19" s="114"/>
      <c r="U19" s="282"/>
      <c r="V19" s="282"/>
      <c r="W19" s="282"/>
      <c r="X19" s="282"/>
      <c r="Y19" s="232"/>
      <c r="Z19" s="282"/>
      <c r="AA19" s="282"/>
      <c r="AB19" s="282"/>
      <c r="AC19" s="282"/>
      <c r="AD19" s="232"/>
      <c r="AI19" s="282"/>
      <c r="AJ19" s="43"/>
      <c r="AK19" s="43"/>
      <c r="AL19" s="50"/>
      <c r="AM19" s="49"/>
      <c r="AN19" s="47"/>
      <c r="AO19" s="282"/>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18"/>
      <c r="BU19" s="18"/>
      <c r="BV19" s="18"/>
      <c r="BW19" s="18"/>
      <c r="BX19" s="18"/>
      <c r="BY19" s="18"/>
      <c r="BZ19" s="18"/>
      <c r="CA19" s="18"/>
      <c r="CB19" s="18"/>
      <c r="CC19" s="18"/>
      <c r="CD19" s="18"/>
      <c r="CE19" s="18"/>
      <c r="CF19" s="18"/>
      <c r="CG19" s="18"/>
      <c r="CH19" s="18"/>
      <c r="CI19" s="18"/>
      <c r="CJ19" s="18"/>
      <c r="CN19" s="18"/>
      <c r="CO19" s="18"/>
      <c r="CP19" s="18"/>
      <c r="CQ19" s="18"/>
      <c r="CR19" s="18"/>
      <c r="CS19" s="18"/>
      <c r="DN19" s="204"/>
      <c r="DO19" s="204"/>
      <c r="DP19" s="204"/>
      <c r="DQ19" s="204"/>
      <c r="DR19" s="204"/>
      <c r="DS19" s="204"/>
    </row>
    <row r="20" spans="1:123" s="18" customFormat="1" ht="2.4500000000000002" customHeight="1">
      <c r="A20" s="45"/>
      <c r="B20" s="405"/>
      <c r="C20" s="25"/>
      <c r="D20" s="25"/>
      <c r="E20" s="65"/>
      <c r="F20" s="65"/>
      <c r="G20" s="65"/>
      <c r="H20" s="65"/>
      <c r="I20" s="45"/>
      <c r="J20" s="405"/>
      <c r="K20" s="45"/>
      <c r="L20" s="45"/>
      <c r="M20" s="234"/>
      <c r="N20" s="405"/>
      <c r="O20" s="421"/>
      <c r="P20" s="45"/>
      <c r="Q20" s="250"/>
      <c r="S20" s="114"/>
      <c r="U20" s="282"/>
      <c r="V20" s="282"/>
      <c r="W20" s="282"/>
      <c r="X20" s="282"/>
      <c r="Y20" s="232"/>
      <c r="Z20" s="282"/>
      <c r="AA20" s="282"/>
      <c r="AB20" s="282"/>
      <c r="AC20" s="282"/>
      <c r="AD20" s="232"/>
      <c r="AI20" s="282"/>
      <c r="AJ20" s="43"/>
      <c r="AK20" s="43"/>
      <c r="AL20" s="50"/>
      <c r="AM20" s="49"/>
      <c r="AN20" s="47"/>
      <c r="AO20" s="282"/>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DN20" s="201"/>
      <c r="DO20" s="201"/>
      <c r="DP20" s="201"/>
      <c r="DQ20" s="201"/>
      <c r="DR20" s="201"/>
      <c r="DS20" s="201"/>
    </row>
    <row r="21" spans="1:123" s="125" customFormat="1" ht="17.100000000000001" customHeight="1" thickBot="1">
      <c r="A21" s="137"/>
      <c r="B21" s="405"/>
      <c r="C21" s="25" t="s">
        <v>20</v>
      </c>
      <c r="D21" s="25"/>
      <c r="E21" s="217">
        <v>4000</v>
      </c>
      <c r="F21" s="405"/>
      <c r="G21" s="122" t="s">
        <v>117</v>
      </c>
      <c r="H21" s="405"/>
      <c r="I21" s="233">
        <v>0</v>
      </c>
      <c r="J21" s="405"/>
      <c r="K21" s="122" t="s">
        <v>100</v>
      </c>
      <c r="L21" s="45"/>
      <c r="M21" s="235" t="s">
        <v>30</v>
      </c>
      <c r="N21" s="405"/>
      <c r="O21" s="422" t="s">
        <v>116</v>
      </c>
      <c r="P21" s="325"/>
      <c r="Q21" s="413"/>
      <c r="S21" s="114"/>
      <c r="U21" s="282"/>
      <c r="V21" s="282"/>
      <c r="W21" s="282"/>
      <c r="X21" s="282"/>
      <c r="Y21" s="282"/>
      <c r="Z21" s="282"/>
      <c r="AA21" s="282"/>
      <c r="AB21" s="282"/>
      <c r="AC21" s="282"/>
      <c r="AD21" s="282"/>
      <c r="AI21" s="282"/>
      <c r="AJ21" s="43"/>
      <c r="AK21" s="43"/>
      <c r="AL21" s="50"/>
      <c r="AM21" s="49"/>
      <c r="AN21" s="47"/>
      <c r="AO21" s="282"/>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DN21" s="204"/>
      <c r="DO21" s="204"/>
      <c r="DP21" s="204"/>
      <c r="DQ21" s="204"/>
      <c r="DR21" s="204"/>
      <c r="DS21" s="204"/>
    </row>
    <row r="22" spans="1:123" s="18" customFormat="1" ht="2.4500000000000002" customHeight="1">
      <c r="A22" s="45"/>
      <c r="B22" s="405"/>
      <c r="C22" s="25"/>
      <c r="D22" s="25"/>
      <c r="E22" s="215"/>
      <c r="F22" s="405"/>
      <c r="G22" s="405"/>
      <c r="H22" s="405"/>
      <c r="I22" s="27"/>
      <c r="J22" s="405"/>
      <c r="K22" s="405"/>
      <c r="L22" s="405"/>
      <c r="M22" s="65"/>
      <c r="N22" s="405"/>
      <c r="O22" s="45"/>
      <c r="P22" s="45"/>
      <c r="Q22" s="251"/>
      <c r="R22" s="45"/>
      <c r="S22" s="114"/>
      <c r="T22" s="114"/>
      <c r="U22" s="282"/>
      <c r="V22" s="282"/>
      <c r="W22" s="282"/>
      <c r="X22" s="282"/>
      <c r="Y22" s="282"/>
      <c r="Z22" s="282"/>
      <c r="AA22" s="282"/>
      <c r="AB22" s="282"/>
      <c r="AC22" s="282"/>
      <c r="AD22" s="282"/>
      <c r="AI22" s="282"/>
      <c r="AJ22" s="43"/>
      <c r="AK22" s="43"/>
      <c r="AL22" s="50"/>
      <c r="AM22" s="49"/>
      <c r="AN22" s="47"/>
      <c r="AO22" s="282"/>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DN22" s="201"/>
      <c r="DO22" s="201"/>
      <c r="DP22" s="201"/>
      <c r="DQ22" s="201"/>
      <c r="DR22" s="201"/>
      <c r="DS22" s="201"/>
    </row>
    <row r="23" spans="1:123" s="125" customFormat="1" ht="17.100000000000001" customHeight="1">
      <c r="A23" s="137"/>
      <c r="B23" s="405"/>
      <c r="C23" s="122" t="s">
        <v>74</v>
      </c>
      <c r="D23" s="405"/>
      <c r="E23" s="212">
        <v>28</v>
      </c>
      <c r="F23" s="405"/>
      <c r="G23" s="342" t="s">
        <v>160</v>
      </c>
      <c r="H23" s="343"/>
      <c r="I23" s="212">
        <v>3</v>
      </c>
      <c r="J23" s="405"/>
      <c r="K23" s="122" t="s">
        <v>80</v>
      </c>
      <c r="L23" s="18"/>
      <c r="M23" s="212">
        <v>6.17</v>
      </c>
      <c r="N23" s="405"/>
      <c r="O23" s="65"/>
      <c r="P23" s="45"/>
      <c r="Q23" s="251"/>
      <c r="R23" s="137"/>
      <c r="S23" s="114"/>
      <c r="T23" s="278"/>
      <c r="U23" s="282"/>
      <c r="V23" s="282"/>
      <c r="W23" s="282"/>
      <c r="X23" s="282"/>
      <c r="Y23" s="282"/>
      <c r="Z23" s="282"/>
      <c r="AA23" s="282"/>
      <c r="AB23" s="282"/>
      <c r="AC23" s="282"/>
      <c r="AD23" s="282"/>
      <c r="AI23" s="282"/>
      <c r="AJ23" s="43"/>
      <c r="AK23" s="43"/>
      <c r="AL23" s="50"/>
      <c r="AM23" s="49"/>
      <c r="AN23" s="47"/>
      <c r="AO23" s="282"/>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DN23" s="204"/>
      <c r="DO23" s="204"/>
      <c r="DP23" s="204"/>
      <c r="DQ23" s="204"/>
      <c r="DR23" s="204"/>
      <c r="DS23" s="204"/>
    </row>
    <row r="24" spans="1:123" s="18" customFormat="1" ht="2.4500000000000002" customHeight="1">
      <c r="A24" s="45"/>
      <c r="B24" s="405"/>
      <c r="C24" s="405"/>
      <c r="D24" s="405"/>
      <c r="E24" s="405"/>
      <c r="F24" s="405"/>
      <c r="G24" s="405"/>
      <c r="H24" s="405"/>
      <c r="I24" s="405"/>
      <c r="J24" s="405"/>
      <c r="K24" s="405"/>
      <c r="L24" s="405"/>
      <c r="M24" s="405"/>
      <c r="N24" s="405"/>
      <c r="O24" s="65"/>
      <c r="P24" s="45"/>
      <c r="Q24" s="251"/>
      <c r="R24" s="45"/>
      <c r="S24" s="114"/>
      <c r="T24" s="114"/>
      <c r="U24" s="282"/>
      <c r="V24" s="282"/>
      <c r="W24" s="282"/>
      <c r="X24" s="282"/>
      <c r="Y24" s="282"/>
      <c r="Z24" s="282"/>
      <c r="AA24" s="282"/>
      <c r="AB24" s="282"/>
      <c r="AC24" s="282"/>
      <c r="AD24" s="282"/>
      <c r="AI24" s="282"/>
      <c r="AJ24" s="43"/>
      <c r="AK24" s="43"/>
      <c r="AL24" s="50"/>
      <c r="AM24" s="49"/>
      <c r="AN24" s="47"/>
      <c r="AO24" s="282"/>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DN24" s="201"/>
      <c r="DO24" s="201"/>
      <c r="DP24" s="201"/>
      <c r="DQ24" s="201"/>
      <c r="DR24" s="201"/>
      <c r="DS24" s="201"/>
    </row>
    <row r="25" spans="1:123" s="125" customFormat="1" ht="17.100000000000001" customHeight="1">
      <c r="A25" s="137"/>
      <c r="B25" s="45"/>
      <c r="C25" s="137"/>
      <c r="D25" s="45"/>
      <c r="E25" s="137"/>
      <c r="F25" s="45"/>
      <c r="H25" s="18"/>
      <c r="J25" s="18"/>
      <c r="K25" s="122"/>
      <c r="L25" s="405"/>
      <c r="M25" s="137"/>
      <c r="N25" s="45"/>
      <c r="O25" s="65"/>
      <c r="P25" s="45"/>
      <c r="Q25" s="251"/>
      <c r="R25" s="45"/>
      <c r="S25" s="114"/>
      <c r="T25" s="114"/>
      <c r="U25" s="282"/>
      <c r="V25" s="282"/>
      <c r="W25" s="282"/>
      <c r="X25" s="282"/>
      <c r="Y25" s="282"/>
      <c r="Z25" s="282"/>
      <c r="AA25" s="282"/>
      <c r="AB25" s="282"/>
      <c r="AC25" s="282"/>
      <c r="AD25" s="282"/>
      <c r="AI25" s="282"/>
      <c r="AJ25" s="43"/>
      <c r="AK25" s="43"/>
      <c r="AL25" s="50"/>
      <c r="AM25" s="49"/>
      <c r="AN25" s="45"/>
      <c r="AO25" s="45"/>
      <c r="AP25" s="45"/>
      <c r="AQ25" s="45"/>
      <c r="AR25" s="45"/>
      <c r="AS25" s="45"/>
      <c r="AT25" s="45"/>
      <c r="AU25" s="45"/>
      <c r="AV25" s="45"/>
      <c r="AW25" s="45"/>
      <c r="AX25" s="45"/>
      <c r="AY25" s="45"/>
      <c r="AZ25" s="45"/>
      <c r="BA25" s="45"/>
      <c r="BB25" s="45"/>
      <c r="BC25" s="45"/>
      <c r="BD25" s="45"/>
      <c r="BE25" s="45"/>
      <c r="BF25" s="45"/>
      <c r="BG25" s="45"/>
      <c r="BH25" s="18"/>
      <c r="BI25" s="18"/>
      <c r="BJ25" s="18"/>
      <c r="BK25" s="18"/>
      <c r="BL25" s="18"/>
      <c r="BM25" s="18"/>
      <c r="BN25" s="18"/>
      <c r="BO25" s="33"/>
      <c r="BP25" s="33"/>
      <c r="BQ25" s="33"/>
      <c r="BR25" s="33"/>
      <c r="BS25" s="310"/>
      <c r="BT25" s="18"/>
      <c r="BU25" s="18"/>
      <c r="BV25" s="18"/>
      <c r="BW25" s="18"/>
      <c r="BX25" s="18"/>
      <c r="BY25" s="18"/>
      <c r="BZ25" s="18"/>
      <c r="CA25" s="18"/>
      <c r="CB25" s="18"/>
      <c r="CC25" s="18"/>
      <c r="CD25" s="18"/>
      <c r="CY25" s="204"/>
      <c r="CZ25" s="204"/>
      <c r="DA25" s="204"/>
      <c r="DB25" s="204"/>
      <c r="DC25" s="204"/>
      <c r="DD25" s="204"/>
    </row>
    <row r="26" spans="1:123" s="18" customFormat="1" ht="2.4500000000000002" customHeight="1">
      <c r="A26" s="45"/>
      <c r="U26" s="282"/>
      <c r="V26" s="282"/>
      <c r="W26" s="282"/>
      <c r="X26" s="282"/>
      <c r="Y26" s="282"/>
      <c r="Z26" s="282"/>
      <c r="AA26" s="282"/>
      <c r="AB26" s="282"/>
      <c r="AC26" s="282"/>
      <c r="AD26" s="282"/>
      <c r="AI26" s="282"/>
      <c r="AJ26" s="43"/>
      <c r="AK26" s="43"/>
      <c r="AL26" s="50"/>
      <c r="AM26" s="49"/>
      <c r="AN26" s="45"/>
      <c r="AO26" s="45"/>
      <c r="AP26" s="45"/>
      <c r="AQ26" s="45"/>
      <c r="AR26" s="45"/>
      <c r="AS26" s="45"/>
      <c r="AT26" s="45"/>
      <c r="AU26" s="45"/>
      <c r="AV26" s="45"/>
      <c r="AW26" s="45"/>
      <c r="AX26" s="45"/>
      <c r="AY26" s="45"/>
      <c r="AZ26" s="45"/>
      <c r="BA26" s="45"/>
      <c r="BB26" s="45"/>
      <c r="BC26" s="45"/>
      <c r="BD26" s="45"/>
      <c r="BE26" s="45"/>
      <c r="BF26" s="45"/>
      <c r="BG26" s="45"/>
      <c r="BO26" s="33"/>
      <c r="BP26" s="33"/>
      <c r="BQ26" s="33"/>
      <c r="BR26" s="33"/>
      <c r="BS26" s="310"/>
      <c r="CY26" s="201"/>
      <c r="CZ26" s="201"/>
      <c r="DA26" s="201"/>
      <c r="DB26" s="201"/>
      <c r="DC26" s="201"/>
      <c r="DD26" s="201"/>
    </row>
    <row r="27" spans="1:123" s="125" customFormat="1" ht="20.100000000000001" customHeight="1">
      <c r="B27" s="18"/>
      <c r="C27" s="756" t="s">
        <v>99</v>
      </c>
      <c r="D27" s="756"/>
      <c r="E27" s="756"/>
      <c r="F27" s="405"/>
      <c r="G27" s="739" t="s">
        <v>123</v>
      </c>
      <c r="H27" s="739"/>
      <c r="I27" s="739"/>
      <c r="J27" s="405"/>
      <c r="K27" s="739" t="s">
        <v>41</v>
      </c>
      <c r="L27" s="739"/>
      <c r="M27" s="739"/>
      <c r="N27" s="222"/>
      <c r="U27" s="282"/>
      <c r="V27" s="282"/>
      <c r="W27" s="282"/>
      <c r="X27" s="159"/>
      <c r="AD27" s="282"/>
      <c r="AI27" s="282"/>
      <c r="AJ27" s="43"/>
      <c r="AK27" s="43"/>
      <c r="AL27" s="50"/>
      <c r="AM27" s="49"/>
      <c r="AN27" s="45"/>
      <c r="AO27" s="45"/>
      <c r="AP27" s="45"/>
      <c r="AQ27" s="45"/>
      <c r="AR27" s="45"/>
      <c r="AS27" s="45"/>
      <c r="AT27" s="45"/>
      <c r="AU27" s="45"/>
      <c r="AV27" s="45"/>
      <c r="AW27" s="45"/>
      <c r="AX27" s="45"/>
      <c r="AY27" s="45"/>
      <c r="AZ27" s="45"/>
      <c r="BA27" s="45"/>
      <c r="BB27" s="45"/>
      <c r="BC27" s="45"/>
      <c r="BD27" s="45"/>
      <c r="BE27" s="45"/>
      <c r="BF27" s="45"/>
      <c r="BG27" s="45"/>
      <c r="BH27" s="18"/>
      <c r="BI27" s="18"/>
      <c r="BJ27" s="18"/>
      <c r="BK27" s="18"/>
      <c r="BL27" s="18"/>
      <c r="BM27" s="18"/>
      <c r="BN27" s="18"/>
      <c r="BO27" s="308"/>
      <c r="BP27" s="308"/>
      <c r="BQ27" s="282"/>
      <c r="BR27" s="282"/>
      <c r="BS27" s="310"/>
      <c r="BT27" s="18"/>
      <c r="BU27" s="18"/>
      <c r="BV27" s="18"/>
      <c r="BW27" s="18"/>
      <c r="BX27" s="18"/>
      <c r="BY27" s="18"/>
      <c r="BZ27" s="18"/>
      <c r="CA27" s="18"/>
      <c r="CB27" s="18"/>
      <c r="CC27" s="18"/>
      <c r="CD27" s="18"/>
      <c r="CY27" s="204"/>
      <c r="CZ27" s="204"/>
      <c r="DA27" s="204"/>
      <c r="DB27" s="204"/>
      <c r="DC27" s="204"/>
      <c r="DD27" s="204"/>
    </row>
    <row r="28" spans="1:123" s="18" customFormat="1" ht="2.4500000000000002" customHeight="1">
      <c r="C28" s="222"/>
      <c r="D28" s="222"/>
      <c r="E28" s="222"/>
      <c r="F28" s="222"/>
      <c r="G28" s="222"/>
      <c r="H28" s="222"/>
      <c r="I28" s="222"/>
      <c r="J28" s="222"/>
      <c r="K28" s="222"/>
      <c r="L28" s="222"/>
      <c r="M28" s="222"/>
      <c r="N28" s="222"/>
      <c r="U28" s="282"/>
      <c r="V28" s="282"/>
      <c r="W28" s="282"/>
      <c r="X28" s="159"/>
      <c r="Y28" s="93"/>
      <c r="Z28" s="282"/>
      <c r="AA28" s="282"/>
      <c r="AB28" s="93"/>
      <c r="AC28" s="224"/>
      <c r="AD28" s="282"/>
      <c r="AI28" s="282"/>
      <c r="AJ28" s="43"/>
      <c r="AK28" s="43"/>
      <c r="AL28" s="50"/>
      <c r="AM28" s="49"/>
      <c r="AN28" s="45"/>
      <c r="AO28" s="45"/>
      <c r="AP28" s="45"/>
      <c r="AQ28" s="45"/>
      <c r="AR28" s="45"/>
      <c r="AS28" s="45"/>
      <c r="AT28" s="45"/>
      <c r="AU28" s="45"/>
      <c r="AV28" s="45"/>
      <c r="AW28" s="45"/>
      <c r="AX28" s="45"/>
      <c r="AY28" s="45"/>
      <c r="AZ28" s="45"/>
      <c r="BA28" s="45"/>
      <c r="BB28" s="45"/>
      <c r="BC28" s="45"/>
      <c r="BD28" s="45"/>
      <c r="BE28" s="45"/>
      <c r="BF28" s="45"/>
      <c r="BG28" s="45"/>
      <c r="BO28" s="308"/>
      <c r="BP28" s="308"/>
      <c r="BQ28" s="282"/>
      <c r="BR28" s="282"/>
      <c r="BS28" s="310"/>
      <c r="CY28" s="201"/>
      <c r="CZ28" s="201"/>
      <c r="DA28" s="201"/>
      <c r="DB28" s="201"/>
      <c r="DC28" s="201"/>
      <c r="DD28" s="201"/>
    </row>
    <row r="29" spans="1:123" s="125" customFormat="1" ht="17.100000000000001" customHeight="1">
      <c r="B29" s="18"/>
      <c r="C29" s="122" t="s">
        <v>98</v>
      </c>
      <c r="D29" s="405"/>
      <c r="E29" s="231" t="s">
        <v>549</v>
      </c>
      <c r="F29" s="405"/>
      <c r="G29" s="328"/>
      <c r="H29" s="328"/>
      <c r="I29" s="705" t="s">
        <v>583</v>
      </c>
      <c r="J29" s="695"/>
      <c r="K29" s="258">
        <v>10</v>
      </c>
      <c r="L29" s="18"/>
      <c r="M29" s="259" t="s">
        <v>126</v>
      </c>
      <c r="N29" s="229"/>
      <c r="U29" s="282"/>
      <c r="V29" s="282"/>
      <c r="W29" s="282"/>
      <c r="X29" s="282"/>
      <c r="Y29" s="282"/>
      <c r="Z29" s="282"/>
      <c r="AA29" s="282"/>
      <c r="AB29" s="282"/>
      <c r="AC29" s="282"/>
      <c r="AD29" s="282"/>
      <c r="AI29" s="282"/>
      <c r="AJ29" s="43"/>
      <c r="AK29" s="43"/>
      <c r="AL29" s="50"/>
      <c r="AM29" s="49"/>
      <c r="AN29" s="45"/>
      <c r="AO29" s="45"/>
      <c r="AP29" s="45"/>
      <c r="AQ29" s="45"/>
      <c r="AR29" s="45"/>
      <c r="AS29" s="45"/>
      <c r="AT29" s="45"/>
      <c r="AU29" s="45"/>
      <c r="AV29" s="45"/>
      <c r="AW29" s="45"/>
      <c r="AX29" s="45"/>
      <c r="AY29" s="45"/>
      <c r="AZ29" s="45"/>
      <c r="BA29" s="45"/>
      <c r="BB29" s="45"/>
      <c r="BC29" s="45"/>
      <c r="BD29" s="45"/>
      <c r="BE29" s="45"/>
      <c r="BF29" s="45"/>
      <c r="BG29" s="45"/>
      <c r="BH29" s="18"/>
      <c r="BI29" s="18"/>
      <c r="BJ29" s="18"/>
      <c r="BK29" s="18"/>
      <c r="BL29" s="18"/>
      <c r="BM29" s="18"/>
      <c r="BN29" s="18"/>
      <c r="BO29" s="308"/>
      <c r="BP29" s="308"/>
      <c r="BQ29" s="282"/>
      <c r="BR29" s="282"/>
      <c r="BS29" s="310"/>
      <c r="BT29" s="18"/>
      <c r="BU29" s="18"/>
      <c r="BV29" s="18"/>
      <c r="BW29" s="18"/>
      <c r="BX29" s="18"/>
      <c r="BY29" s="18"/>
      <c r="BZ29" s="18"/>
      <c r="CA29" s="18"/>
      <c r="CB29" s="18"/>
      <c r="CC29" s="18"/>
      <c r="CD29" s="18"/>
      <c r="CY29" s="204"/>
      <c r="CZ29" s="204"/>
      <c r="DA29" s="204"/>
      <c r="DB29" s="204"/>
      <c r="DC29" s="204"/>
      <c r="DD29" s="204"/>
    </row>
    <row r="30" spans="1:123" s="18" customFormat="1" ht="2.4500000000000002" customHeight="1">
      <c r="C30" s="405"/>
      <c r="D30" s="405"/>
      <c r="E30" s="405"/>
      <c r="F30" s="405"/>
      <c r="G30" s="344"/>
      <c r="H30" s="344"/>
      <c r="I30" s="230"/>
      <c r="J30" s="230"/>
      <c r="M30" s="345"/>
      <c r="N30" s="229"/>
      <c r="U30" s="282"/>
      <c r="V30" s="282"/>
      <c r="W30" s="282"/>
      <c r="X30" s="282"/>
      <c r="Y30" s="282"/>
      <c r="Z30" s="282"/>
      <c r="AA30" s="282"/>
      <c r="AB30" s="282"/>
      <c r="AC30" s="282"/>
      <c r="AD30" s="282"/>
      <c r="AI30" s="282"/>
      <c r="AJ30" s="43"/>
      <c r="AK30" s="43"/>
      <c r="AL30" s="50"/>
      <c r="AM30" s="49"/>
      <c r="AN30" s="45"/>
      <c r="AO30" s="45"/>
      <c r="AP30" s="45"/>
      <c r="AQ30" s="45"/>
      <c r="AR30" s="45"/>
      <c r="AS30" s="45"/>
      <c r="AT30" s="45"/>
      <c r="AU30" s="45"/>
      <c r="AV30" s="45"/>
      <c r="AW30" s="45"/>
      <c r="AX30" s="45"/>
      <c r="AY30" s="45"/>
      <c r="AZ30" s="45"/>
      <c r="BA30" s="45"/>
      <c r="BB30" s="45"/>
      <c r="BC30" s="45"/>
      <c r="BD30" s="45"/>
      <c r="BE30" s="45"/>
      <c r="BF30" s="45"/>
      <c r="BG30" s="45"/>
      <c r="BO30" s="308"/>
      <c r="BP30" s="308"/>
      <c r="BQ30" s="282"/>
      <c r="BR30" s="282"/>
      <c r="BS30" s="310"/>
      <c r="CY30" s="201"/>
      <c r="CZ30" s="201"/>
      <c r="DA30" s="201"/>
      <c r="DB30" s="201"/>
      <c r="DC30" s="201"/>
      <c r="DD30" s="201"/>
    </row>
    <row r="31" spans="1:123" s="125" customFormat="1" ht="17.100000000000001" customHeight="1">
      <c r="B31" s="18"/>
      <c r="C31" s="122" t="s">
        <v>97</v>
      </c>
      <c r="D31" s="405"/>
      <c r="E31" s="269">
        <v>115</v>
      </c>
      <c r="F31" s="25"/>
      <c r="G31" s="122" t="s">
        <v>92</v>
      </c>
      <c r="I31" s="255">
        <v>4.6000000000000005</v>
      </c>
      <c r="J31" s="346"/>
      <c r="K31" s="341" t="s">
        <v>122</v>
      </c>
      <c r="L31" s="25"/>
      <c r="M31" s="209">
        <v>35218</v>
      </c>
      <c r="N31" s="229"/>
      <c r="U31" s="282"/>
      <c r="V31" s="282"/>
      <c r="W31" s="282"/>
      <c r="X31" s="282"/>
      <c r="Y31" s="282"/>
      <c r="Z31" s="282"/>
      <c r="AI31" s="282"/>
      <c r="AJ31" s="43"/>
      <c r="AK31" s="43"/>
      <c r="AL31" s="50"/>
      <c r="AM31" s="49"/>
      <c r="AN31" s="45"/>
      <c r="AO31" s="45"/>
      <c r="AP31" s="45"/>
      <c r="AQ31" s="45"/>
      <c r="AR31" s="45"/>
      <c r="AS31" s="45"/>
      <c r="AT31" s="45"/>
      <c r="AU31" s="45"/>
      <c r="AV31" s="45"/>
      <c r="AW31" s="45"/>
      <c r="AX31" s="45"/>
      <c r="AY31" s="45"/>
      <c r="AZ31" s="45"/>
      <c r="BA31" s="45"/>
      <c r="BB31" s="45"/>
      <c r="BC31" s="45"/>
      <c r="BD31" s="45"/>
      <c r="BE31" s="45"/>
      <c r="BF31" s="45"/>
      <c r="BG31" s="45"/>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Y31" s="204"/>
      <c r="CZ31" s="204"/>
      <c r="DA31" s="204"/>
      <c r="DB31" s="204"/>
      <c r="DC31" s="204"/>
      <c r="DD31" s="204"/>
    </row>
    <row r="32" spans="1:123" s="18" customFormat="1" ht="2.4500000000000002" customHeight="1">
      <c r="C32" s="405"/>
      <c r="D32" s="405"/>
      <c r="E32" s="25"/>
      <c r="F32" s="25"/>
      <c r="J32" s="214"/>
      <c r="M32" s="345"/>
      <c r="N32" s="229"/>
      <c r="U32" s="282"/>
      <c r="V32" s="282"/>
      <c r="W32" s="282"/>
      <c r="X32" s="282"/>
      <c r="Y32" s="282"/>
      <c r="Z32" s="282"/>
      <c r="AI32" s="282"/>
      <c r="AJ32" s="43"/>
      <c r="AK32" s="43"/>
      <c r="AL32" s="50"/>
      <c r="AM32" s="49"/>
      <c r="AN32" s="45"/>
      <c r="AO32" s="45"/>
      <c r="AP32" s="45"/>
      <c r="AQ32" s="45"/>
      <c r="AR32" s="45"/>
      <c r="AS32" s="45"/>
      <c r="AT32" s="45"/>
      <c r="AU32" s="45"/>
      <c r="AV32" s="45"/>
      <c r="AW32" s="45"/>
      <c r="AX32" s="45"/>
      <c r="AY32" s="45"/>
      <c r="AZ32" s="45"/>
      <c r="BA32" s="45"/>
      <c r="BB32" s="45"/>
      <c r="BC32" s="45"/>
      <c r="BD32" s="45"/>
      <c r="BE32" s="45"/>
      <c r="BF32" s="45"/>
      <c r="BG32" s="45"/>
      <c r="CY32" s="201"/>
      <c r="CZ32" s="201"/>
      <c r="DA32" s="201"/>
      <c r="DB32" s="201"/>
      <c r="DC32" s="201"/>
      <c r="DD32" s="201"/>
    </row>
    <row r="33" spans="1:141" s="125" customFormat="1" ht="17.100000000000001" customHeight="1">
      <c r="B33" s="18"/>
      <c r="C33" s="122" t="s">
        <v>96</v>
      </c>
      <c r="D33" s="405"/>
      <c r="E33" s="228">
        <v>910</v>
      </c>
      <c r="F33" s="226"/>
      <c r="G33" s="122" t="s">
        <v>89</v>
      </c>
      <c r="I33" s="256">
        <v>250</v>
      </c>
      <c r="J33" s="214"/>
      <c r="K33" s="25" t="s">
        <v>121</v>
      </c>
      <c r="L33" s="25"/>
      <c r="M33" s="209">
        <v>6500</v>
      </c>
      <c r="N33" s="229"/>
      <c r="U33" s="282"/>
      <c r="V33" s="282"/>
      <c r="W33" s="282"/>
      <c r="X33" s="282"/>
      <c r="Y33" s="282"/>
      <c r="Z33" s="282"/>
      <c r="AI33" s="282"/>
      <c r="AJ33" s="43"/>
      <c r="AK33" s="43"/>
      <c r="AL33" s="50"/>
      <c r="AM33" s="49"/>
      <c r="AN33" s="45"/>
      <c r="AO33" s="45"/>
      <c r="AP33" s="45"/>
      <c r="AQ33" s="45"/>
      <c r="AR33" s="45"/>
      <c r="AS33" s="45"/>
      <c r="AT33" s="45"/>
      <c r="AU33" s="45"/>
      <c r="AV33" s="45"/>
      <c r="AW33" s="45"/>
      <c r="AX33" s="45"/>
      <c r="AY33" s="45"/>
      <c r="AZ33" s="45"/>
      <c r="BA33" s="45"/>
      <c r="BB33" s="45"/>
      <c r="BC33" s="45"/>
      <c r="BD33" s="45"/>
      <c r="BE33" s="45"/>
      <c r="BF33" s="45"/>
      <c r="BG33" s="45"/>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Y33" s="204"/>
      <c r="CZ33" s="204"/>
      <c r="DA33" s="204"/>
      <c r="DB33" s="204"/>
      <c r="DC33" s="204"/>
      <c r="DD33" s="204"/>
    </row>
    <row r="34" spans="1:141" s="18" customFormat="1" ht="2.4500000000000002" customHeight="1">
      <c r="C34" s="405"/>
      <c r="D34" s="405"/>
      <c r="E34" s="226"/>
      <c r="F34" s="226"/>
      <c r="I34" s="346"/>
      <c r="J34" s="214"/>
      <c r="N34" s="229"/>
      <c r="U34" s="282"/>
      <c r="V34" s="282"/>
      <c r="W34" s="282"/>
      <c r="X34" s="282"/>
      <c r="Y34" s="282"/>
      <c r="Z34" s="282"/>
      <c r="AA34" s="282"/>
      <c r="AB34" s="282"/>
      <c r="AC34" s="282"/>
      <c r="AD34" s="282"/>
      <c r="AI34" s="282"/>
      <c r="AJ34" s="43"/>
      <c r="AK34" s="43"/>
      <c r="AL34" s="50"/>
      <c r="AM34" s="49"/>
      <c r="AN34" s="45"/>
      <c r="AO34" s="45"/>
      <c r="AP34" s="45"/>
      <c r="AQ34" s="45"/>
      <c r="AR34" s="45"/>
      <c r="AS34" s="45"/>
      <c r="AT34" s="45"/>
      <c r="AU34" s="45"/>
      <c r="AV34" s="45"/>
      <c r="AW34" s="45"/>
      <c r="AX34" s="45"/>
      <c r="AY34" s="45"/>
      <c r="AZ34" s="45"/>
      <c r="BA34" s="45"/>
      <c r="BB34" s="45"/>
      <c r="BC34" s="45"/>
      <c r="BD34" s="45"/>
      <c r="BE34" s="45"/>
      <c r="BF34" s="45"/>
      <c r="BG34" s="45"/>
      <c r="CY34" s="201"/>
      <c r="CZ34" s="201"/>
      <c r="DA34" s="201"/>
      <c r="DB34" s="201"/>
      <c r="DC34" s="201"/>
      <c r="DD34" s="201"/>
    </row>
    <row r="35" spans="1:141" s="125" customFormat="1" ht="17.100000000000001" customHeight="1">
      <c r="B35" s="18"/>
      <c r="C35" s="122" t="s">
        <v>94</v>
      </c>
      <c r="D35" s="405"/>
      <c r="E35" s="210" t="s">
        <v>93</v>
      </c>
      <c r="F35" s="225"/>
      <c r="G35" s="122" t="s">
        <v>86</v>
      </c>
      <c r="H35" s="405"/>
      <c r="I35" s="220">
        <f>IF(Tabelle1!AC6=0,IF(OR(AND(I37&lt;&gt;0,Tabelle1!AC6=0)),I37,(I31*I33)+E39),0)</f>
        <v>0</v>
      </c>
      <c r="J35" s="214"/>
      <c r="K35" s="122" t="s">
        <v>95</v>
      </c>
      <c r="M35" s="227">
        <f>IF(Tabelle1!AC6=1,M31,SUM(M31:M33))</f>
        <v>35218</v>
      </c>
      <c r="N35" s="229"/>
      <c r="U35" s="45"/>
      <c r="V35" s="45"/>
      <c r="W35" s="308"/>
      <c r="X35" s="282"/>
      <c r="Y35" s="282"/>
      <c r="Z35" s="282"/>
      <c r="AA35" s="282"/>
      <c r="AB35" s="282"/>
      <c r="AC35" s="282"/>
      <c r="AD35" s="282"/>
      <c r="AI35" s="282"/>
      <c r="AJ35" s="43"/>
      <c r="AK35" s="43"/>
      <c r="AL35" s="50"/>
      <c r="AM35" s="49"/>
      <c r="AN35" s="45"/>
      <c r="AO35" s="45"/>
      <c r="AP35" s="45"/>
      <c r="AQ35" s="45"/>
      <c r="AR35" s="45"/>
      <c r="AS35" s="45"/>
      <c r="AT35" s="45"/>
      <c r="AU35" s="45"/>
      <c r="AV35" s="45"/>
      <c r="AW35" s="45"/>
      <c r="AX35" s="45"/>
      <c r="AY35" s="45"/>
      <c r="AZ35" s="45"/>
      <c r="BA35" s="45"/>
      <c r="BB35" s="308"/>
      <c r="BC35" s="308"/>
      <c r="BD35" s="309"/>
      <c r="BE35" s="153"/>
      <c r="BF35" s="309"/>
      <c r="BG35" s="153"/>
      <c r="BH35" s="153"/>
      <c r="BI35" s="169"/>
      <c r="BJ35" s="159"/>
      <c r="BK35" s="167"/>
      <c r="BL35" s="282"/>
      <c r="BM35" s="282"/>
      <c r="BN35" s="18"/>
      <c r="BO35" s="18"/>
      <c r="BP35" s="18"/>
      <c r="BQ35" s="18"/>
      <c r="BR35" s="18"/>
      <c r="BS35" s="18"/>
      <c r="BT35" s="18"/>
      <c r="BU35" s="18"/>
      <c r="BV35" s="18"/>
      <c r="BW35" s="18"/>
      <c r="BX35" s="18"/>
      <c r="BY35" s="18"/>
      <c r="BZ35" s="18"/>
      <c r="CA35" s="18"/>
      <c r="CB35" s="18"/>
      <c r="CC35" s="18"/>
      <c r="CD35" s="18"/>
      <c r="CY35" s="204"/>
      <c r="CZ35" s="204"/>
      <c r="DA35" s="204"/>
      <c r="DB35" s="204"/>
      <c r="DC35" s="204"/>
      <c r="DD35" s="204"/>
    </row>
    <row r="36" spans="1:141" s="18" customFormat="1" ht="2.4500000000000002" customHeight="1">
      <c r="C36" s="405"/>
      <c r="D36" s="405"/>
      <c r="E36" s="225"/>
      <c r="F36" s="225"/>
      <c r="G36" s="405"/>
      <c r="H36" s="405"/>
      <c r="I36" s="214"/>
      <c r="J36" s="214"/>
      <c r="N36" s="229"/>
      <c r="U36" s="45"/>
      <c r="V36" s="45"/>
      <c r="W36" s="308"/>
      <c r="X36" s="282"/>
      <c r="Y36" s="282"/>
      <c r="Z36" s="282"/>
      <c r="AA36" s="282"/>
      <c r="AB36" s="282"/>
      <c r="AC36" s="282"/>
      <c r="AD36" s="282"/>
      <c r="AI36" s="282"/>
      <c r="AJ36" s="43"/>
      <c r="AK36" s="43"/>
      <c r="AL36" s="50"/>
      <c r="AM36" s="49"/>
      <c r="AN36" s="45"/>
      <c r="AO36" s="45"/>
      <c r="AP36" s="45"/>
      <c r="AQ36" s="45"/>
      <c r="AR36" s="45"/>
      <c r="AS36" s="45"/>
      <c r="AT36" s="45"/>
      <c r="AU36" s="45"/>
      <c r="AV36" s="45"/>
      <c r="AW36" s="45"/>
      <c r="AX36" s="45"/>
      <c r="AY36" s="45"/>
      <c r="AZ36" s="45"/>
      <c r="BA36" s="45"/>
      <c r="BB36" s="308"/>
      <c r="BC36" s="308"/>
      <c r="BD36" s="309"/>
      <c r="BE36" s="153"/>
      <c r="BF36" s="309"/>
      <c r="BG36" s="153"/>
      <c r="BH36" s="153"/>
      <c r="BI36" s="169"/>
      <c r="BJ36" s="159"/>
      <c r="BK36" s="167"/>
      <c r="BL36" s="282"/>
      <c r="BM36" s="282"/>
      <c r="CY36" s="201"/>
      <c r="CZ36" s="201"/>
      <c r="DA36" s="201"/>
      <c r="DB36" s="201"/>
      <c r="DC36" s="201"/>
      <c r="DD36" s="201"/>
    </row>
    <row r="37" spans="1:141" s="125" customFormat="1" ht="17.100000000000001" customHeight="1">
      <c r="B37" s="18"/>
      <c r="C37" s="122" t="s">
        <v>87</v>
      </c>
      <c r="D37" s="405"/>
      <c r="E37" s="209">
        <v>966</v>
      </c>
      <c r="F37" s="28"/>
      <c r="G37" s="767" t="s">
        <v>574</v>
      </c>
      <c r="H37" s="405"/>
      <c r="I37" s="216">
        <v>2320</v>
      </c>
      <c r="J37" s="208"/>
      <c r="K37" s="122" t="s">
        <v>91</v>
      </c>
      <c r="L37" s="405"/>
      <c r="M37" s="209">
        <v>35218</v>
      </c>
      <c r="N37" s="229"/>
      <c r="U37" s="45"/>
      <c r="V37" s="45"/>
      <c r="W37" s="308"/>
      <c r="X37" s="282"/>
      <c r="Y37" s="282"/>
      <c r="Z37" s="153"/>
      <c r="AA37" s="153"/>
      <c r="AB37" s="153"/>
      <c r="AC37" s="153"/>
      <c r="AD37" s="282"/>
      <c r="AI37" s="282"/>
      <c r="AJ37" s="43"/>
      <c r="AK37" s="43"/>
      <c r="AL37" s="50"/>
      <c r="AM37" s="49"/>
      <c r="AN37" s="65"/>
      <c r="AO37" s="65"/>
      <c r="AP37" s="65"/>
      <c r="AQ37" s="65"/>
      <c r="AR37" s="45"/>
      <c r="AS37" s="45"/>
      <c r="AT37" s="45"/>
      <c r="AU37" s="45"/>
      <c r="AV37" s="45"/>
      <c r="AW37" s="45"/>
      <c r="AX37" s="45"/>
      <c r="AY37" s="45"/>
      <c r="AZ37" s="45"/>
      <c r="BA37" s="45"/>
      <c r="BB37" s="308"/>
      <c r="BC37" s="308"/>
      <c r="BD37" s="309"/>
      <c r="BE37" s="153"/>
      <c r="BF37" s="162"/>
      <c r="BG37" s="153"/>
      <c r="BH37" s="153"/>
      <c r="BI37" s="169"/>
      <c r="BJ37" s="159"/>
      <c r="BK37" s="167"/>
      <c r="BL37" s="282"/>
      <c r="BM37" s="282"/>
      <c r="BN37" s="18"/>
      <c r="BO37" s="18"/>
      <c r="BP37" s="18"/>
      <c r="BQ37" s="18"/>
      <c r="BR37" s="18"/>
      <c r="BS37" s="18"/>
      <c r="BT37" s="18"/>
      <c r="BU37" s="18"/>
      <c r="BV37" s="18"/>
      <c r="BW37" s="18"/>
      <c r="BX37" s="18"/>
      <c r="BY37" s="18"/>
      <c r="BZ37" s="18"/>
      <c r="CA37" s="18"/>
      <c r="CB37" s="18"/>
      <c r="CC37" s="18"/>
      <c r="CD37" s="18"/>
      <c r="CY37" s="204"/>
      <c r="CZ37" s="204"/>
      <c r="DA37" s="204"/>
      <c r="DB37" s="204"/>
      <c r="DC37" s="204"/>
      <c r="DD37" s="204"/>
    </row>
    <row r="38" spans="1:141" s="18" customFormat="1" ht="2.4500000000000002" customHeight="1">
      <c r="C38" s="25"/>
      <c r="D38" s="25"/>
      <c r="E38" s="28"/>
      <c r="F38" s="28"/>
      <c r="G38" s="767"/>
      <c r="J38" s="208"/>
      <c r="K38" s="405"/>
      <c r="L38" s="405"/>
      <c r="M38" s="28"/>
      <c r="N38" s="229"/>
      <c r="U38" s="45"/>
      <c r="V38" s="45"/>
      <c r="W38" s="308"/>
      <c r="X38" s="282"/>
      <c r="Y38" s="282"/>
      <c r="Z38" s="153"/>
      <c r="AA38" s="153"/>
      <c r="AB38" s="153"/>
      <c r="AC38" s="153"/>
      <c r="AD38" s="282"/>
      <c r="AI38" s="282"/>
      <c r="AJ38" s="43"/>
      <c r="AK38" s="43"/>
      <c r="AL38" s="50"/>
      <c r="AM38" s="49"/>
      <c r="AN38" s="65"/>
      <c r="AO38" s="65"/>
      <c r="AP38" s="65"/>
      <c r="AQ38" s="65"/>
      <c r="AR38" s="45"/>
      <c r="AS38" s="45"/>
      <c r="AT38" s="45"/>
      <c r="AU38" s="45"/>
      <c r="AV38" s="45"/>
      <c r="AW38" s="45"/>
      <c r="AX38" s="45"/>
      <c r="AY38" s="45"/>
      <c r="AZ38" s="45"/>
      <c r="BA38" s="45"/>
      <c r="BB38" s="308"/>
      <c r="BC38" s="308"/>
      <c r="BD38" s="309"/>
      <c r="BE38" s="153"/>
      <c r="BF38" s="162"/>
      <c r="BG38" s="153"/>
      <c r="BH38" s="153"/>
      <c r="BI38" s="169"/>
      <c r="BJ38" s="159"/>
      <c r="BK38" s="167"/>
      <c r="BL38" s="282"/>
      <c r="BM38" s="282"/>
      <c r="CY38" s="201"/>
      <c r="CZ38" s="201"/>
      <c r="DA38" s="201"/>
      <c r="DB38" s="201"/>
      <c r="DC38" s="201"/>
      <c r="DD38" s="201"/>
    </row>
    <row r="39" spans="1:141" s="125" customFormat="1" ht="17.100000000000001" customHeight="1">
      <c r="B39" s="18"/>
      <c r="C39" s="122" t="s">
        <v>82</v>
      </c>
      <c r="D39" s="405"/>
      <c r="E39" s="217">
        <v>0</v>
      </c>
      <c r="F39" s="28"/>
      <c r="G39" s="767"/>
      <c r="J39" s="28"/>
      <c r="K39" s="347" t="s">
        <v>88</v>
      </c>
      <c r="L39" s="348"/>
      <c r="M39" s="223">
        <v>1.35E-2</v>
      </c>
      <c r="N39" s="229"/>
      <c r="U39" s="45"/>
      <c r="V39" s="45"/>
      <c r="W39" s="308"/>
      <c r="X39" s="45"/>
      <c r="Y39" s="178"/>
      <c r="Z39" s="153"/>
      <c r="AA39" s="153"/>
      <c r="AB39" s="153"/>
      <c r="AC39" s="153"/>
      <c r="AD39" s="282"/>
      <c r="AI39" s="282"/>
      <c r="AJ39" s="43"/>
      <c r="AK39" s="43"/>
      <c r="AL39" s="50"/>
      <c r="AM39" s="49"/>
      <c r="AN39" s="153"/>
      <c r="AO39" s="153"/>
      <c r="AP39" s="153"/>
      <c r="AQ39" s="153"/>
      <c r="AR39" s="45"/>
      <c r="AS39" s="45"/>
      <c r="AT39" s="45"/>
      <c r="AU39" s="45"/>
      <c r="AV39" s="45"/>
      <c r="AW39" s="45"/>
      <c r="AX39" s="45"/>
      <c r="AY39" s="45"/>
      <c r="AZ39" s="45"/>
      <c r="BA39" s="45"/>
      <c r="BB39" s="308"/>
      <c r="BC39" s="308"/>
      <c r="BD39" s="309"/>
      <c r="BE39" s="153"/>
      <c r="BF39" s="162"/>
      <c r="BG39" s="153"/>
      <c r="BH39" s="153"/>
      <c r="BI39" s="169"/>
      <c r="BJ39" s="159"/>
      <c r="BK39" s="167"/>
      <c r="BL39" s="282"/>
      <c r="BM39" s="282"/>
      <c r="BN39" s="18"/>
      <c r="BO39" s="18"/>
      <c r="BP39" s="18"/>
      <c r="BQ39" s="18"/>
      <c r="BR39" s="18"/>
      <c r="BS39" s="18"/>
      <c r="BT39" s="18"/>
      <c r="BU39" s="18"/>
      <c r="BV39" s="18"/>
      <c r="BW39" s="18"/>
      <c r="BX39" s="18"/>
      <c r="BY39" s="18"/>
      <c r="BZ39" s="18"/>
      <c r="CA39" s="18"/>
      <c r="CB39" s="18"/>
      <c r="CC39" s="18"/>
      <c r="CD39" s="18"/>
      <c r="CY39" s="204"/>
      <c r="CZ39" s="204"/>
      <c r="DA39" s="204"/>
      <c r="DB39" s="204"/>
      <c r="DC39" s="204"/>
      <c r="DD39" s="204"/>
    </row>
    <row r="40" spans="1:141" s="18" customFormat="1" ht="2.4500000000000002" customHeight="1">
      <c r="C40" s="405"/>
      <c r="D40" s="405"/>
      <c r="E40" s="28"/>
      <c r="F40" s="28"/>
      <c r="G40" s="405"/>
      <c r="H40" s="405"/>
      <c r="I40" s="208"/>
      <c r="J40" s="28"/>
      <c r="K40" s="348"/>
      <c r="L40" s="348"/>
      <c r="M40" s="221"/>
      <c r="N40" s="229"/>
      <c r="U40" s="45"/>
      <c r="V40" s="45"/>
      <c r="W40" s="308"/>
      <c r="X40" s="45"/>
      <c r="Y40" s="178"/>
      <c r="Z40" s="153"/>
      <c r="AA40" s="153"/>
      <c r="AB40" s="153"/>
      <c r="AC40" s="153"/>
      <c r="AD40" s="282"/>
      <c r="AI40" s="282"/>
      <c r="AJ40" s="43"/>
      <c r="AK40" s="43"/>
      <c r="AL40" s="50"/>
      <c r="AM40" s="49"/>
      <c r="AN40" s="153"/>
      <c r="AO40" s="153"/>
      <c r="AP40" s="153"/>
      <c r="AQ40" s="153"/>
      <c r="AR40" s="45"/>
      <c r="AS40" s="45"/>
      <c r="AT40" s="45"/>
      <c r="AU40" s="45"/>
      <c r="AV40" s="45"/>
      <c r="AW40" s="45"/>
      <c r="AX40" s="45"/>
      <c r="AY40" s="45"/>
      <c r="AZ40" s="45"/>
      <c r="BA40" s="45"/>
      <c r="BB40" s="308"/>
      <c r="BC40" s="308"/>
      <c r="BD40" s="309"/>
      <c r="BE40" s="153"/>
      <c r="BF40" s="162"/>
      <c r="BG40" s="153"/>
      <c r="BH40" s="153"/>
      <c r="BI40" s="169"/>
      <c r="BJ40" s="159"/>
      <c r="BK40" s="167"/>
      <c r="BL40" s="282"/>
      <c r="BM40" s="282"/>
      <c r="CY40" s="201"/>
      <c r="CZ40" s="201"/>
      <c r="DA40" s="201"/>
      <c r="DB40" s="201"/>
      <c r="DC40" s="201"/>
      <c r="DD40" s="201"/>
    </row>
    <row r="41" spans="1:141" s="125" customFormat="1" ht="17.100000000000001" customHeight="1">
      <c r="B41" s="18"/>
      <c r="C41" s="122" t="s">
        <v>68</v>
      </c>
      <c r="E41" s="210" t="s">
        <v>29</v>
      </c>
      <c r="F41" s="215"/>
      <c r="J41" s="18"/>
      <c r="K41" s="347" t="s">
        <v>85</v>
      </c>
      <c r="L41" s="348"/>
      <c r="M41" s="219">
        <v>1</v>
      </c>
      <c r="N41" s="229"/>
      <c r="U41" s="45"/>
      <c r="V41" s="45"/>
      <c r="W41" s="308"/>
      <c r="X41" s="45"/>
      <c r="Y41" s="178"/>
      <c r="Z41" s="153"/>
      <c r="AA41" s="153"/>
      <c r="AB41" s="153"/>
      <c r="AC41" s="153"/>
      <c r="AD41" s="282"/>
      <c r="AI41" s="282"/>
      <c r="AJ41" s="43"/>
      <c r="AK41" s="43"/>
      <c r="AL41" s="50"/>
      <c r="AM41" s="49"/>
      <c r="AN41" s="202"/>
      <c r="AO41" s="202"/>
      <c r="AP41" s="202"/>
      <c r="AQ41" s="202"/>
      <c r="AR41" s="308"/>
      <c r="AS41" s="308"/>
      <c r="AT41" s="308"/>
      <c r="AU41" s="308"/>
      <c r="AV41" s="308"/>
      <c r="AW41" s="308"/>
      <c r="AX41" s="308"/>
      <c r="AY41" s="308"/>
      <c r="AZ41" s="308"/>
      <c r="BA41" s="308"/>
      <c r="BB41" s="308"/>
      <c r="BC41" s="308"/>
      <c r="BD41" s="309"/>
      <c r="BE41" s="153"/>
      <c r="BF41" s="162"/>
      <c r="BG41" s="153"/>
      <c r="BH41" s="153"/>
      <c r="BI41" s="169"/>
      <c r="BJ41" s="159"/>
      <c r="BK41" s="167"/>
      <c r="BL41" s="282"/>
      <c r="BM41" s="282"/>
      <c r="BN41" s="10"/>
      <c r="BO41" s="18"/>
      <c r="BP41" s="18"/>
      <c r="BQ41" s="18"/>
      <c r="BR41" s="18"/>
      <c r="BS41" s="18"/>
      <c r="BT41" s="18"/>
      <c r="BU41" s="18"/>
      <c r="BV41" s="18"/>
      <c r="BW41" s="18"/>
      <c r="BX41" s="18"/>
      <c r="BY41" s="18"/>
      <c r="BZ41" s="18"/>
      <c r="CA41" s="18"/>
      <c r="CB41" s="18"/>
      <c r="CC41" s="18"/>
      <c r="CD41" s="18"/>
      <c r="CY41" s="204"/>
      <c r="CZ41" s="204"/>
      <c r="DA41" s="204"/>
      <c r="DB41" s="204"/>
      <c r="DC41" s="204"/>
      <c r="DD41" s="204"/>
    </row>
    <row r="42" spans="1:141" s="18" customFormat="1" ht="2.4500000000000002" customHeight="1">
      <c r="E42" s="252"/>
      <c r="F42" s="215"/>
      <c r="K42" s="348"/>
      <c r="L42" s="348"/>
      <c r="M42" s="218"/>
      <c r="N42" s="229"/>
      <c r="U42" s="45"/>
      <c r="V42" s="45"/>
      <c r="W42" s="308"/>
      <c r="X42" s="45"/>
      <c r="Y42" s="178"/>
      <c r="Z42" s="153"/>
      <c r="AA42" s="153"/>
      <c r="AB42" s="153"/>
      <c r="AC42" s="153"/>
      <c r="AD42" s="282"/>
      <c r="AI42" s="282"/>
      <c r="AJ42" s="43"/>
      <c r="AK42" s="43"/>
      <c r="AL42" s="50"/>
      <c r="AM42" s="49"/>
      <c r="AN42" s="202"/>
      <c r="AO42" s="202"/>
      <c r="AP42" s="202"/>
      <c r="AQ42" s="202"/>
      <c r="AR42" s="308"/>
      <c r="AS42" s="308"/>
      <c r="AT42" s="308"/>
      <c r="AU42" s="308"/>
      <c r="AV42" s="308"/>
      <c r="AW42" s="308"/>
      <c r="AX42" s="308"/>
      <c r="AY42" s="308"/>
      <c r="AZ42" s="308"/>
      <c r="BA42" s="308"/>
      <c r="BB42" s="308"/>
      <c r="BC42" s="308"/>
      <c r="BD42" s="309"/>
      <c r="BE42" s="153"/>
      <c r="BF42" s="162"/>
      <c r="BG42" s="153"/>
      <c r="BH42" s="153"/>
      <c r="BI42" s="169"/>
      <c r="BJ42" s="159"/>
      <c r="BK42" s="167"/>
      <c r="BL42" s="282"/>
      <c r="BM42" s="282"/>
      <c r="BN42" s="10"/>
      <c r="CY42" s="201"/>
      <c r="CZ42" s="201"/>
      <c r="DA42" s="201"/>
      <c r="DB42" s="201"/>
      <c r="DC42" s="201"/>
      <c r="DD42" s="201"/>
    </row>
    <row r="43" spans="1:141" ht="17.100000000000001" customHeight="1">
      <c r="A43" s="125"/>
      <c r="B43" s="18"/>
      <c r="C43" s="743" t="s">
        <v>118</v>
      </c>
      <c r="D43" s="743"/>
      <c r="E43" s="743"/>
      <c r="F43" s="18"/>
      <c r="G43" s="743" t="s">
        <v>125</v>
      </c>
      <c r="H43" s="743"/>
      <c r="I43" s="743"/>
      <c r="J43" s="28"/>
      <c r="K43" s="207" t="s">
        <v>42</v>
      </c>
      <c r="L43" s="344"/>
      <c r="M43" s="205">
        <f>IF(Tabelle1!AC6=0,IF(AND(Tabelle1!X8,Tabelle1!X9),Tabelle1!AD36,0),0)</f>
        <v>0</v>
      </c>
      <c r="N43" s="349"/>
      <c r="O43" s="125"/>
      <c r="P43" s="125"/>
      <c r="S43" s="279"/>
      <c r="T43" s="280"/>
      <c r="V43" s="45"/>
      <c r="X43" s="45"/>
      <c r="Y43" s="180"/>
      <c r="Z43" s="153"/>
      <c r="AA43" s="153"/>
      <c r="AB43" s="153"/>
      <c r="AC43" s="153"/>
      <c r="AD43" s="282"/>
      <c r="AI43" s="282"/>
      <c r="AJ43" s="43"/>
      <c r="AK43" s="43"/>
      <c r="AL43" s="50"/>
      <c r="AM43" s="49"/>
      <c r="AN43" s="159"/>
      <c r="AO43" s="159"/>
      <c r="AP43" s="159"/>
      <c r="AQ43" s="159"/>
      <c r="BD43" s="309"/>
      <c r="BE43" s="153"/>
      <c r="BF43" s="162"/>
      <c r="BG43" s="153"/>
      <c r="BH43" s="153"/>
      <c r="BI43" s="169"/>
      <c r="BJ43" s="159"/>
      <c r="BK43" s="167"/>
      <c r="BL43" s="282"/>
      <c r="BM43" s="282"/>
      <c r="BN43" s="10"/>
      <c r="BO43" s="10"/>
      <c r="BP43" s="10"/>
      <c r="BQ43" s="10"/>
      <c r="BR43" s="10"/>
      <c r="BS43" s="10"/>
      <c r="BT43" s="10"/>
      <c r="BU43" s="10"/>
      <c r="BV43" s="10"/>
      <c r="BW43" s="10"/>
      <c r="CE43" s="307"/>
      <c r="CF43" s="307"/>
      <c r="CG43" s="307"/>
      <c r="CH43" s="307"/>
      <c r="CI43" s="307"/>
      <c r="CJ43" s="307"/>
      <c r="CK43" s="307"/>
      <c r="CL43" s="307"/>
      <c r="CM43" s="307"/>
      <c r="CN43" s="307"/>
      <c r="CO43" s="307"/>
      <c r="CP43" s="307"/>
      <c r="CQ43" s="307"/>
      <c r="CR43" s="307"/>
      <c r="CS43" s="307"/>
      <c r="CT43" s="307"/>
      <c r="CU43" s="307"/>
      <c r="CV43" s="307"/>
      <c r="CW43" s="307"/>
      <c r="CX43" s="307"/>
      <c r="CY43" s="9"/>
      <c r="CZ43" s="9"/>
      <c r="DA43" s="9"/>
      <c r="DB43" s="9"/>
      <c r="DC43" s="9"/>
      <c r="DD43" s="9"/>
      <c r="DE43" s="307"/>
      <c r="DF43" s="307"/>
      <c r="DG43" s="307"/>
      <c r="DH43" s="307"/>
      <c r="DI43" s="307"/>
      <c r="DJ43" s="307"/>
      <c r="DK43" s="307"/>
      <c r="EF43" s="307"/>
      <c r="EG43" s="307"/>
      <c r="EH43" s="307"/>
      <c r="EI43" s="307"/>
      <c r="EJ43" s="307"/>
      <c r="EK43" s="307"/>
    </row>
    <row r="44" spans="1:141" s="10" customFormat="1" ht="2.4500000000000002" customHeight="1">
      <c r="A44" s="18"/>
      <c r="B44" s="18"/>
      <c r="C44" s="18"/>
      <c r="D44" s="18"/>
      <c r="E44" s="18"/>
      <c r="F44" s="18"/>
      <c r="G44" s="18"/>
      <c r="H44" s="18"/>
      <c r="I44" s="18"/>
      <c r="J44" s="28"/>
      <c r="K44" s="405"/>
      <c r="L44" s="405"/>
      <c r="M44" s="213"/>
      <c r="N44" s="349"/>
      <c r="O44" s="18"/>
      <c r="P44" s="18"/>
      <c r="S44" s="279"/>
      <c r="T44" s="279"/>
      <c r="U44" s="308"/>
      <c r="V44" s="45"/>
      <c r="W44" s="308"/>
      <c r="X44" s="45"/>
      <c r="Y44" s="178"/>
      <c r="Z44" s="153"/>
      <c r="AA44" s="153"/>
      <c r="AB44" s="153"/>
      <c r="AC44" s="153"/>
      <c r="AD44" s="282"/>
      <c r="AI44" s="282"/>
      <c r="AJ44" s="43"/>
      <c r="AK44" s="43"/>
      <c r="AL44" s="50"/>
      <c r="AM44" s="49"/>
      <c r="AN44" s="159"/>
      <c r="AO44" s="159"/>
      <c r="AP44" s="159"/>
      <c r="AQ44" s="159"/>
      <c r="AR44" s="308"/>
      <c r="AS44" s="308"/>
      <c r="AT44" s="308"/>
      <c r="AU44" s="308"/>
      <c r="AV44" s="308"/>
      <c r="AW44" s="308"/>
      <c r="AX44" s="308"/>
      <c r="AY44" s="308"/>
      <c r="AZ44" s="308"/>
      <c r="BA44" s="308"/>
      <c r="BB44" s="308"/>
      <c r="BC44" s="308"/>
      <c r="BD44" s="309"/>
      <c r="BE44" s="153"/>
      <c r="BF44" s="162"/>
      <c r="BG44" s="153"/>
      <c r="BH44" s="153"/>
      <c r="BI44" s="169"/>
      <c r="BJ44" s="159"/>
      <c r="BK44" s="167"/>
      <c r="BL44" s="282"/>
      <c r="BM44" s="282"/>
      <c r="CY44" s="110"/>
      <c r="CZ44" s="110"/>
      <c r="DA44" s="110"/>
      <c r="DB44" s="110"/>
      <c r="DC44" s="110"/>
      <c r="DD44" s="110"/>
    </row>
    <row r="45" spans="1:141" ht="16.5" customHeight="1">
      <c r="A45" s="18"/>
      <c r="B45" s="18"/>
      <c r="C45" s="122" t="s">
        <v>2</v>
      </c>
      <c r="D45" s="125"/>
      <c r="E45" s="254">
        <v>2017</v>
      </c>
      <c r="F45" s="18"/>
      <c r="G45" s="122" t="s">
        <v>2</v>
      </c>
      <c r="H45" s="125"/>
      <c r="I45" s="254">
        <v>2016</v>
      </c>
      <c r="J45" s="28"/>
      <c r="K45" s="122" t="s">
        <v>79</v>
      </c>
      <c r="L45" s="405"/>
      <c r="M45" s="119">
        <f>IF(K27="Finanzierung Nein",0,M35-M37-M43)</f>
        <v>0</v>
      </c>
      <c r="N45" s="349"/>
      <c r="O45" s="45"/>
      <c r="P45" s="45"/>
      <c r="Q45" s="11"/>
      <c r="S45" s="279"/>
      <c r="T45" s="280"/>
      <c r="V45" s="195"/>
      <c r="X45" s="45"/>
      <c r="Y45" s="180"/>
      <c r="Z45" s="153"/>
      <c r="AA45" s="153"/>
      <c r="AB45" s="153"/>
      <c r="AC45" s="153"/>
      <c r="AD45" s="282"/>
      <c r="AI45" s="282"/>
      <c r="AJ45" s="43"/>
      <c r="AK45" s="43"/>
      <c r="AL45" s="50"/>
      <c r="AM45" s="49"/>
      <c r="AN45" s="159"/>
      <c r="AO45" s="159"/>
      <c r="AP45" s="159"/>
      <c r="AQ45" s="159"/>
      <c r="BD45" s="309"/>
      <c r="BE45" s="153"/>
      <c r="BF45" s="162"/>
      <c r="BG45" s="153"/>
      <c r="BH45" s="153"/>
      <c r="BI45" s="169"/>
      <c r="BJ45" s="159"/>
      <c r="BK45" s="167"/>
      <c r="BL45" s="282"/>
      <c r="BM45" s="282"/>
      <c r="BN45" s="10"/>
      <c r="BO45" s="10"/>
      <c r="BP45" s="10"/>
      <c r="BQ45" s="10"/>
      <c r="BR45" s="10"/>
      <c r="BS45" s="10"/>
      <c r="BT45" s="10"/>
      <c r="BU45" s="10"/>
      <c r="BV45" s="10"/>
      <c r="BW45" s="10"/>
      <c r="CE45" s="307"/>
      <c r="CF45" s="307"/>
      <c r="CG45" s="307"/>
      <c r="CH45" s="307"/>
      <c r="CI45" s="307"/>
      <c r="CJ45" s="307"/>
      <c r="CK45" s="307"/>
      <c r="CL45" s="307"/>
      <c r="CM45" s="307"/>
      <c r="CN45" s="307"/>
      <c r="CO45" s="307"/>
      <c r="CP45" s="307"/>
      <c r="CQ45" s="307"/>
      <c r="CR45" s="307"/>
      <c r="CS45" s="307"/>
      <c r="CT45" s="307"/>
      <c r="CU45" s="307"/>
      <c r="CV45" s="307"/>
      <c r="CW45" s="307"/>
      <c r="CX45" s="307"/>
      <c r="CY45" s="9"/>
      <c r="CZ45" s="9"/>
      <c r="DA45" s="9"/>
      <c r="DB45" s="9"/>
      <c r="DC45" s="9"/>
      <c r="DD45" s="9"/>
      <c r="DE45" s="307"/>
      <c r="DF45" s="307"/>
      <c r="DG45" s="307"/>
      <c r="DH45" s="307"/>
      <c r="DI45" s="307"/>
      <c r="DJ45" s="307"/>
      <c r="DK45" s="307"/>
      <c r="EF45" s="307"/>
      <c r="EG45" s="307"/>
      <c r="EH45" s="307"/>
      <c r="EI45" s="307"/>
      <c r="EJ45" s="307"/>
      <c r="EK45" s="307"/>
    </row>
    <row r="46" spans="1:141" ht="2.4500000000000002" customHeight="1">
      <c r="A46" s="18"/>
      <c r="B46" s="18"/>
      <c r="C46" s="18"/>
      <c r="D46" s="18"/>
      <c r="E46" s="253"/>
      <c r="F46" s="18"/>
      <c r="G46" s="18"/>
      <c r="H46" s="18"/>
      <c r="I46" s="253"/>
      <c r="J46" s="28"/>
      <c r="K46" s="405"/>
      <c r="L46" s="405"/>
      <c r="M46" s="123"/>
      <c r="N46" s="349"/>
      <c r="O46" s="45"/>
      <c r="P46" s="45"/>
      <c r="Q46" s="11"/>
      <c r="V46" s="195"/>
      <c r="X46" s="45"/>
      <c r="Y46" s="178"/>
      <c r="Z46" s="153"/>
      <c r="AA46" s="153"/>
      <c r="AB46" s="153"/>
      <c r="AC46" s="153"/>
      <c r="AD46" s="282"/>
      <c r="AI46" s="282"/>
      <c r="AJ46" s="43"/>
      <c r="AK46" s="43"/>
      <c r="AL46" s="50"/>
      <c r="AM46" s="49"/>
      <c r="AN46" s="159"/>
      <c r="AO46" s="159"/>
      <c r="AP46" s="159"/>
      <c r="AQ46" s="159"/>
      <c r="BD46" s="309"/>
      <c r="BE46" s="153"/>
      <c r="BF46" s="162"/>
      <c r="BG46" s="153"/>
      <c r="BH46" s="153"/>
      <c r="BI46" s="169"/>
      <c r="BJ46" s="159"/>
      <c r="BK46" s="167"/>
      <c r="BL46" s="282"/>
      <c r="BM46" s="282"/>
      <c r="BN46" s="10"/>
      <c r="BO46" s="10"/>
      <c r="BP46" s="10"/>
      <c r="BQ46" s="10"/>
      <c r="BR46" s="10"/>
      <c r="BS46" s="10"/>
      <c r="BT46" s="10"/>
      <c r="BU46" s="10"/>
      <c r="BV46" s="10"/>
      <c r="BW46" s="10"/>
      <c r="CE46" s="307"/>
      <c r="CF46" s="307"/>
      <c r="CG46" s="307"/>
      <c r="CH46" s="307"/>
      <c r="CI46" s="307"/>
      <c r="CJ46" s="307"/>
      <c r="CK46" s="307"/>
      <c r="CL46" s="307"/>
      <c r="CM46" s="307"/>
      <c r="CN46" s="307"/>
      <c r="CO46" s="307"/>
      <c r="CP46" s="307"/>
      <c r="CQ46" s="307"/>
      <c r="CR46" s="307"/>
      <c r="CS46" s="307"/>
      <c r="CT46" s="307"/>
      <c r="CU46" s="307"/>
      <c r="CV46" s="307"/>
      <c r="CW46" s="307"/>
      <c r="CX46" s="307"/>
      <c r="CY46" s="9"/>
      <c r="CZ46" s="9"/>
      <c r="DA46" s="9"/>
      <c r="DB46" s="9"/>
      <c r="DC46" s="9"/>
      <c r="DD46" s="9"/>
      <c r="DE46" s="307"/>
      <c r="DF46" s="307"/>
      <c r="DG46" s="307"/>
      <c r="DH46" s="307"/>
      <c r="DI46" s="307"/>
      <c r="DJ46" s="307"/>
      <c r="DK46" s="307"/>
      <c r="EF46" s="307"/>
      <c r="EG46" s="307"/>
      <c r="EH46" s="307"/>
      <c r="EI46" s="307"/>
      <c r="EJ46" s="307"/>
      <c r="EK46" s="307"/>
    </row>
    <row r="47" spans="1:141" ht="17.25" customHeight="1">
      <c r="A47" s="125"/>
      <c r="B47" s="18"/>
      <c r="C47" s="122" t="s">
        <v>3</v>
      </c>
      <c r="D47" s="125"/>
      <c r="E47" s="254">
        <v>1</v>
      </c>
      <c r="F47" s="18"/>
      <c r="G47" s="122" t="s">
        <v>3</v>
      </c>
      <c r="H47" s="125"/>
      <c r="I47" s="254">
        <v>11</v>
      </c>
      <c r="J47" s="28"/>
      <c r="K47" s="405" t="s">
        <v>77</v>
      </c>
      <c r="L47" s="405"/>
      <c r="M47" s="119">
        <f>PMT(Solarstrom!$M$39/12*3,Tabelle1!AR17,Solarstrom!$M$45,0,0)*(-1)</f>
        <v>0</v>
      </c>
      <c r="N47" s="349"/>
      <c r="O47" s="137"/>
      <c r="P47" s="137"/>
      <c r="Q47" s="11"/>
      <c r="V47" s="45"/>
      <c r="X47" s="45"/>
      <c r="Y47" s="178"/>
      <c r="Z47" s="153"/>
      <c r="AA47" s="153"/>
      <c r="AB47" s="153"/>
      <c r="AC47" s="153"/>
      <c r="AD47" s="282"/>
      <c r="AI47" s="282"/>
      <c r="AJ47" s="43"/>
      <c r="AK47" s="43"/>
      <c r="AL47" s="50"/>
      <c r="AM47" s="49"/>
      <c r="AN47" s="159"/>
      <c r="AO47" s="159"/>
      <c r="AP47" s="159"/>
      <c r="AQ47" s="159"/>
      <c r="BD47" s="309"/>
      <c r="BE47" s="153"/>
      <c r="BF47" s="162"/>
      <c r="BG47" s="153"/>
      <c r="BH47" s="153"/>
      <c r="BI47" s="169"/>
      <c r="BJ47" s="159"/>
      <c r="BK47" s="167"/>
      <c r="BL47" s="282"/>
      <c r="BM47" s="282"/>
      <c r="BN47" s="10"/>
      <c r="BO47" s="10"/>
      <c r="BP47" s="10"/>
      <c r="BQ47" s="10"/>
      <c r="BR47" s="10"/>
      <c r="BS47" s="10"/>
      <c r="BT47" s="10"/>
      <c r="BU47" s="10"/>
      <c r="BV47" s="10"/>
      <c r="BW47" s="10"/>
      <c r="CE47" s="307"/>
      <c r="CF47" s="307"/>
      <c r="CG47" s="307"/>
      <c r="CH47" s="307"/>
      <c r="CI47" s="307"/>
      <c r="CJ47" s="307"/>
      <c r="CK47" s="307"/>
      <c r="CL47" s="307"/>
      <c r="CM47" s="307"/>
      <c r="CN47" s="307"/>
      <c r="CO47" s="307"/>
      <c r="CP47" s="307"/>
      <c r="CQ47" s="307"/>
      <c r="CR47" s="307"/>
      <c r="CS47" s="307"/>
      <c r="CT47" s="307"/>
      <c r="CU47" s="307"/>
      <c r="CV47" s="307"/>
      <c r="CW47" s="307"/>
      <c r="CX47" s="307"/>
      <c r="CY47" s="9"/>
      <c r="CZ47" s="9"/>
      <c r="DA47" s="9"/>
      <c r="DB47" s="9"/>
      <c r="DC47" s="9"/>
      <c r="DD47" s="9"/>
      <c r="DE47" s="307"/>
      <c r="DF47" s="307"/>
      <c r="DG47" s="307"/>
      <c r="DH47" s="307"/>
      <c r="DI47" s="307"/>
      <c r="DJ47" s="307"/>
      <c r="DK47" s="307"/>
      <c r="EF47" s="307"/>
      <c r="EG47" s="307"/>
      <c r="EH47" s="307"/>
      <c r="EI47" s="307"/>
      <c r="EJ47" s="307"/>
      <c r="EK47" s="307"/>
    </row>
    <row r="48" spans="1:141" s="10" customFormat="1" ht="1.5" customHeight="1">
      <c r="A48" s="18"/>
      <c r="B48" s="18"/>
      <c r="E48" s="10">
        <v>4</v>
      </c>
      <c r="G48" s="206"/>
      <c r="H48" s="206"/>
      <c r="I48" s="31"/>
      <c r="J48" s="31"/>
      <c r="N48" s="349"/>
      <c r="O48" s="185"/>
      <c r="P48" s="18"/>
      <c r="Q48" s="11"/>
      <c r="U48" s="308"/>
      <c r="V48" s="45"/>
      <c r="W48" s="308"/>
      <c r="X48" s="45"/>
      <c r="Y48" s="178"/>
      <c r="Z48" s="153"/>
      <c r="AA48" s="153"/>
      <c r="AB48" s="153"/>
      <c r="AC48" s="153"/>
      <c r="AD48" s="282"/>
      <c r="AI48" s="282"/>
      <c r="AJ48" s="43"/>
      <c r="AK48" s="43"/>
      <c r="AL48" s="50"/>
      <c r="AM48" s="49"/>
      <c r="AN48" s="159"/>
      <c r="AO48" s="159"/>
      <c r="AP48" s="159"/>
      <c r="AQ48" s="159"/>
      <c r="AR48" s="308"/>
      <c r="AS48" s="308"/>
      <c r="AT48" s="308"/>
      <c r="AU48" s="308"/>
      <c r="AV48" s="308"/>
      <c r="AW48" s="308"/>
      <c r="AX48" s="308"/>
      <c r="AY48" s="308"/>
      <c r="AZ48" s="308"/>
      <c r="BA48" s="308"/>
      <c r="BB48" s="308"/>
      <c r="BC48" s="308"/>
      <c r="BD48" s="309"/>
      <c r="BE48" s="153"/>
      <c r="BF48" s="162"/>
      <c r="BG48" s="153"/>
      <c r="BH48" s="153"/>
      <c r="BI48" s="169"/>
      <c r="BJ48" s="159"/>
      <c r="BK48" s="167"/>
      <c r="BL48" s="282"/>
      <c r="BM48" s="282"/>
      <c r="CY48" s="110"/>
      <c r="CZ48" s="110"/>
      <c r="DA48" s="110"/>
      <c r="DB48" s="110"/>
      <c r="DC48" s="110"/>
      <c r="DD48" s="110"/>
    </row>
    <row r="49" spans="1:141" ht="1.5" customHeight="1">
      <c r="A49" s="18"/>
      <c r="B49" s="18"/>
      <c r="C49" s="10"/>
      <c r="E49" s="10"/>
      <c r="G49" s="206"/>
      <c r="H49" s="206"/>
      <c r="I49" s="31"/>
      <c r="J49" s="31"/>
      <c r="N49" s="349"/>
      <c r="O49" s="185"/>
      <c r="P49" s="18"/>
      <c r="V49" s="45"/>
      <c r="X49" s="45"/>
      <c r="Y49" s="178"/>
      <c r="Z49" s="153"/>
      <c r="AA49" s="153"/>
      <c r="AB49" s="153"/>
      <c r="AC49" s="153"/>
      <c r="AD49" s="282"/>
      <c r="AI49" s="282"/>
      <c r="AJ49" s="43"/>
      <c r="AK49" s="43"/>
      <c r="AL49" s="50"/>
      <c r="AM49" s="49"/>
      <c r="AN49" s="159"/>
      <c r="AO49" s="159"/>
      <c r="AP49" s="159"/>
      <c r="AQ49" s="159"/>
      <c r="BD49" s="309"/>
      <c r="BE49" s="153"/>
      <c r="BF49" s="162"/>
      <c r="BG49" s="153"/>
      <c r="BH49" s="153"/>
      <c r="BI49" s="169"/>
      <c r="BJ49" s="159"/>
      <c r="BK49" s="167"/>
      <c r="BL49" s="282"/>
      <c r="BM49" s="282"/>
      <c r="BN49" s="10"/>
      <c r="BO49" s="10"/>
      <c r="BP49" s="10"/>
      <c r="BQ49" s="10"/>
      <c r="BR49" s="10"/>
      <c r="BS49" s="10"/>
      <c r="BT49" s="10"/>
      <c r="BU49" s="10"/>
      <c r="BV49" s="10"/>
      <c r="BW49" s="10"/>
      <c r="CE49" s="307"/>
      <c r="CF49" s="307"/>
      <c r="CG49" s="307"/>
      <c r="CH49" s="307"/>
      <c r="CI49" s="307"/>
      <c r="CJ49" s="307"/>
      <c r="CK49" s="307"/>
      <c r="CL49" s="307"/>
      <c r="CM49" s="307"/>
      <c r="CN49" s="307"/>
      <c r="CO49" s="307"/>
      <c r="CP49" s="307"/>
      <c r="CQ49" s="307"/>
      <c r="CR49" s="307"/>
      <c r="CS49" s="307"/>
      <c r="CT49" s="307"/>
      <c r="CU49" s="307"/>
      <c r="CV49" s="307"/>
      <c r="CW49" s="307"/>
      <c r="CX49" s="307"/>
      <c r="CY49" s="9"/>
      <c r="CZ49" s="9"/>
      <c r="DA49" s="9"/>
      <c r="DB49" s="9"/>
      <c r="DC49" s="9"/>
      <c r="DD49" s="9"/>
      <c r="DE49" s="307"/>
      <c r="DF49" s="307"/>
      <c r="DG49" s="307"/>
      <c r="DH49" s="307"/>
      <c r="DI49" s="307"/>
      <c r="DJ49" s="307"/>
      <c r="DK49" s="307"/>
      <c r="EF49" s="307"/>
      <c r="EG49" s="307"/>
      <c r="EH49" s="307"/>
      <c r="EI49" s="307"/>
      <c r="EJ49" s="307"/>
      <c r="EK49" s="307"/>
    </row>
    <row r="50" spans="1:141" s="10" customFormat="1" ht="1.5" customHeight="1">
      <c r="A50" s="18"/>
      <c r="B50" s="18"/>
      <c r="G50" s="206"/>
      <c r="H50" s="206"/>
      <c r="I50" s="31"/>
      <c r="J50" s="31"/>
      <c r="K50" s="14"/>
      <c r="L50" s="14"/>
      <c r="M50" s="350"/>
      <c r="N50" s="349"/>
      <c r="O50" s="185"/>
      <c r="P50" s="18"/>
      <c r="Q50" s="110"/>
      <c r="U50" s="308"/>
      <c r="V50" s="45"/>
      <c r="W50" s="308"/>
      <c r="X50" s="45"/>
      <c r="Y50" s="178"/>
      <c r="Z50" s="153"/>
      <c r="AA50" s="153"/>
      <c r="AB50" s="153"/>
      <c r="AC50" s="153"/>
      <c r="AD50" s="282"/>
      <c r="AI50" s="282"/>
      <c r="AJ50" s="43"/>
      <c r="AK50" s="43"/>
      <c r="AL50" s="50"/>
      <c r="AM50" s="49"/>
      <c r="AN50" s="159"/>
      <c r="AO50" s="159"/>
      <c r="AP50" s="159"/>
      <c r="AQ50" s="159"/>
      <c r="AR50" s="308"/>
      <c r="AS50" s="308"/>
      <c r="AT50" s="308"/>
      <c r="AU50" s="308"/>
      <c r="AV50" s="308"/>
      <c r="AW50" s="308"/>
      <c r="AX50" s="308"/>
      <c r="AY50" s="308"/>
      <c r="AZ50" s="308"/>
      <c r="BA50" s="308"/>
      <c r="BB50" s="308"/>
      <c r="BC50" s="308"/>
      <c r="BD50" s="309"/>
      <c r="BE50" s="153"/>
      <c r="BF50" s="162"/>
      <c r="BG50" s="153"/>
      <c r="BH50" s="153"/>
      <c r="BI50" s="169"/>
      <c r="BJ50" s="159"/>
      <c r="BK50" s="167"/>
      <c r="BL50" s="282"/>
      <c r="BM50" s="282"/>
      <c r="CY50" s="110"/>
      <c r="CZ50" s="110"/>
      <c r="DA50" s="110"/>
      <c r="DB50" s="110"/>
      <c r="DC50" s="110"/>
      <c r="DD50" s="110"/>
    </row>
    <row r="51" spans="1:141" ht="15" customHeight="1">
      <c r="A51" s="125"/>
      <c r="B51" s="18"/>
      <c r="E51" s="307">
        <f>C51*E55</f>
        <v>0</v>
      </c>
      <c r="O51" s="9"/>
      <c r="P51" s="125"/>
      <c r="Q51" s="9"/>
      <c r="V51" s="45"/>
      <c r="X51" s="45"/>
      <c r="Y51" s="180"/>
      <c r="Z51" s="179"/>
      <c r="AA51" s="179"/>
      <c r="AB51" s="179"/>
      <c r="AC51" s="179"/>
      <c r="AD51" s="282"/>
      <c r="AI51" s="282"/>
      <c r="AJ51" s="43"/>
      <c r="AK51" s="43"/>
      <c r="AL51" s="50"/>
      <c r="AM51" s="49"/>
      <c r="AN51" s="159"/>
      <c r="AO51" s="159"/>
      <c r="AP51" s="159"/>
      <c r="AQ51" s="159"/>
      <c r="BD51" s="309"/>
      <c r="BE51" s="153"/>
      <c r="BF51" s="162"/>
      <c r="BG51" s="153"/>
      <c r="BH51" s="153"/>
      <c r="BI51" s="169"/>
      <c r="BJ51" s="159"/>
      <c r="BK51" s="167"/>
      <c r="BL51" s="282"/>
      <c r="BM51" s="282"/>
      <c r="BN51" s="10"/>
      <c r="BO51" s="10"/>
      <c r="BP51" s="10"/>
      <c r="BQ51" s="10"/>
      <c r="BR51" s="10"/>
      <c r="BS51" s="10"/>
      <c r="BT51" s="10"/>
      <c r="BU51" s="10"/>
      <c r="BV51" s="10"/>
      <c r="BW51" s="10"/>
      <c r="CE51" s="307"/>
      <c r="CF51" s="307"/>
      <c r="CG51" s="307"/>
      <c r="CH51" s="307"/>
      <c r="CI51" s="307"/>
      <c r="CJ51" s="307"/>
      <c r="CK51" s="307"/>
      <c r="CL51" s="307"/>
      <c r="CM51" s="307"/>
      <c r="CN51" s="307"/>
      <c r="CO51" s="307"/>
      <c r="CP51" s="307"/>
      <c r="CQ51" s="307"/>
      <c r="CR51" s="307"/>
      <c r="CS51" s="307"/>
      <c r="CT51" s="307"/>
      <c r="CU51" s="307"/>
      <c r="CV51" s="307"/>
      <c r="CW51" s="307"/>
      <c r="CX51" s="307"/>
      <c r="CY51" s="9"/>
      <c r="CZ51" s="9"/>
      <c r="DA51" s="9"/>
      <c r="DB51" s="9"/>
      <c r="DC51" s="9"/>
      <c r="DD51" s="9"/>
      <c r="DE51" s="307"/>
      <c r="DF51" s="307"/>
      <c r="DG51" s="307"/>
      <c r="DH51" s="307"/>
      <c r="DI51" s="307"/>
      <c r="DJ51" s="307"/>
      <c r="DK51" s="307"/>
      <c r="EF51" s="307"/>
      <c r="EG51" s="307"/>
      <c r="EH51" s="307"/>
      <c r="EI51" s="307"/>
      <c r="EJ51" s="307"/>
      <c r="EK51" s="307"/>
    </row>
    <row r="52" spans="1:141" s="10" customFormat="1" ht="4.5" customHeight="1">
      <c r="A52" s="18"/>
      <c r="B52" s="18"/>
      <c r="O52" s="110"/>
      <c r="P52" s="18"/>
      <c r="Q52" s="110"/>
      <c r="U52" s="308"/>
      <c r="V52" s="45"/>
      <c r="W52" s="308"/>
      <c r="X52" s="45"/>
      <c r="Y52" s="178"/>
      <c r="Z52" s="179"/>
      <c r="AA52" s="179"/>
      <c r="AB52" s="179"/>
      <c r="AC52" s="179"/>
      <c r="AD52" s="282"/>
      <c r="AI52" s="282"/>
      <c r="AJ52" s="43"/>
      <c r="AK52" s="43"/>
      <c r="AL52" s="50"/>
      <c r="AM52" s="49"/>
      <c r="AN52" s="159"/>
      <c r="AO52" s="159"/>
      <c r="AP52" s="159"/>
      <c r="AQ52" s="159"/>
      <c r="AR52" s="308"/>
      <c r="AS52" s="308"/>
      <c r="AT52" s="308"/>
      <c r="AU52" s="308"/>
      <c r="AV52" s="308"/>
      <c r="AW52" s="308"/>
      <c r="AX52" s="308"/>
      <c r="AY52" s="308"/>
      <c r="AZ52" s="308"/>
      <c r="BA52" s="308"/>
      <c r="BB52" s="308"/>
      <c r="BC52" s="308"/>
      <c r="BD52" s="309"/>
      <c r="BE52" s="153"/>
      <c r="BF52" s="162"/>
      <c r="BG52" s="153"/>
      <c r="BH52" s="153"/>
      <c r="BI52" s="169"/>
      <c r="BJ52" s="159"/>
      <c r="BK52" s="167"/>
      <c r="BL52" s="282"/>
      <c r="BM52" s="282"/>
      <c r="CY52" s="110"/>
      <c r="CZ52" s="110"/>
      <c r="DA52" s="110"/>
      <c r="DB52" s="110"/>
      <c r="DC52" s="110"/>
      <c r="DD52" s="110"/>
    </row>
    <row r="53" spans="1:141" ht="20.100000000000001" customHeight="1">
      <c r="C53" s="756" t="s">
        <v>164</v>
      </c>
      <c r="D53" s="756"/>
      <c r="E53" s="756"/>
      <c r="F53" s="756"/>
      <c r="G53" s="756"/>
      <c r="H53" s="756"/>
      <c r="I53" s="756"/>
      <c r="J53" s="756"/>
      <c r="K53" s="756"/>
      <c r="L53" s="756"/>
      <c r="M53" s="756"/>
      <c r="O53" s="9"/>
      <c r="P53" s="125"/>
      <c r="Q53" s="187"/>
      <c r="V53" s="45"/>
      <c r="X53" s="45"/>
      <c r="Y53" s="180"/>
      <c r="Z53" s="179"/>
      <c r="AA53" s="179"/>
      <c r="AB53" s="179"/>
      <c r="AC53" s="179"/>
      <c r="AD53" s="282"/>
      <c r="AI53" s="282"/>
      <c r="AJ53" s="43"/>
      <c r="AK53" s="43"/>
      <c r="AL53" s="50"/>
      <c r="AM53" s="49"/>
      <c r="AN53" s="159"/>
      <c r="AO53" s="159"/>
      <c r="AP53" s="159"/>
      <c r="AQ53" s="159"/>
      <c r="BE53" s="282"/>
      <c r="BF53" s="310"/>
      <c r="BG53" s="282"/>
      <c r="BH53" s="282"/>
      <c r="BI53" s="169"/>
      <c r="BJ53" s="159"/>
      <c r="BK53" s="167"/>
      <c r="BL53" s="282"/>
      <c r="BM53" s="282"/>
      <c r="BN53" s="10"/>
      <c r="BO53" s="10"/>
      <c r="BP53" s="10"/>
      <c r="BQ53" s="10"/>
      <c r="BR53" s="10"/>
      <c r="BS53" s="10"/>
      <c r="BT53" s="10"/>
      <c r="BU53" s="10"/>
      <c r="BV53" s="10"/>
      <c r="BW53" s="10"/>
      <c r="CE53" s="307"/>
      <c r="CF53" s="307"/>
      <c r="CG53" s="307"/>
      <c r="CH53" s="307"/>
      <c r="CI53" s="307"/>
      <c r="CJ53" s="307"/>
      <c r="CK53" s="307"/>
      <c r="CL53" s="307"/>
      <c r="CM53" s="307"/>
      <c r="CN53" s="307"/>
      <c r="CO53" s="307"/>
      <c r="CP53" s="307"/>
      <c r="CQ53" s="307"/>
      <c r="CR53" s="307"/>
      <c r="CS53" s="307"/>
      <c r="CT53" s="307"/>
      <c r="CU53" s="307"/>
      <c r="CV53" s="307"/>
      <c r="CW53" s="307"/>
      <c r="CX53" s="307"/>
      <c r="CY53" s="9"/>
      <c r="CZ53" s="9"/>
      <c r="DA53" s="9"/>
      <c r="DB53" s="9"/>
      <c r="DC53" s="9"/>
      <c r="DD53" s="9"/>
      <c r="DE53" s="307"/>
      <c r="DF53" s="307"/>
      <c r="DG53" s="307"/>
      <c r="DH53" s="307"/>
      <c r="DI53" s="307"/>
      <c r="DJ53" s="307"/>
      <c r="DK53" s="307"/>
      <c r="EF53" s="307"/>
      <c r="EG53" s="307"/>
      <c r="EH53" s="307"/>
      <c r="EI53" s="307"/>
      <c r="EJ53" s="307"/>
      <c r="EK53" s="307"/>
    </row>
    <row r="54" spans="1:141" ht="2.4500000000000002" customHeight="1">
      <c r="C54" s="125"/>
      <c r="D54" s="18"/>
      <c r="E54" s="125"/>
      <c r="F54" s="18"/>
      <c r="G54" s="125"/>
      <c r="H54" s="18"/>
      <c r="I54" s="125"/>
      <c r="J54" s="18"/>
      <c r="K54" s="125"/>
      <c r="L54" s="18"/>
      <c r="M54" s="125"/>
      <c r="O54" s="9"/>
      <c r="P54" s="18"/>
      <c r="Q54" s="185"/>
      <c r="V54" s="45"/>
      <c r="W54" s="45"/>
      <c r="X54" s="45"/>
      <c r="Y54" s="178"/>
      <c r="Z54" s="177"/>
      <c r="AA54" s="177"/>
      <c r="AB54" s="177"/>
      <c r="AC54" s="177"/>
      <c r="AD54" s="282"/>
      <c r="AI54" s="282"/>
      <c r="AJ54" s="43"/>
      <c r="AK54" s="43"/>
      <c r="AL54" s="50"/>
      <c r="AM54" s="49"/>
      <c r="AN54" s="159"/>
      <c r="AO54" s="159"/>
      <c r="AP54" s="159"/>
      <c r="AQ54" s="159"/>
      <c r="BD54" s="168"/>
      <c r="BE54" s="168"/>
      <c r="BF54" s="168"/>
      <c r="BG54" s="172"/>
      <c r="BH54" s="168"/>
      <c r="BI54" s="168"/>
      <c r="BJ54" s="168"/>
      <c r="BK54" s="167"/>
      <c r="BL54" s="282"/>
      <c r="BM54" s="282"/>
      <c r="BN54" s="10"/>
      <c r="BO54" s="10"/>
      <c r="BP54" s="10"/>
      <c r="BQ54" s="10"/>
      <c r="BR54" s="10"/>
      <c r="BS54" s="10"/>
      <c r="BT54" s="10"/>
      <c r="BU54" s="10"/>
      <c r="BV54" s="10"/>
      <c r="BW54" s="10"/>
      <c r="CE54" s="307"/>
      <c r="CF54" s="307"/>
      <c r="CG54" s="307"/>
      <c r="CH54" s="307"/>
      <c r="CI54" s="307"/>
      <c r="CJ54" s="307"/>
      <c r="CK54" s="307"/>
      <c r="CL54" s="307"/>
      <c r="CM54" s="307"/>
      <c r="CN54" s="307"/>
      <c r="CO54" s="307"/>
      <c r="CP54" s="307"/>
      <c r="CQ54" s="307"/>
      <c r="CR54" s="307"/>
      <c r="CS54" s="307"/>
      <c r="CT54" s="307"/>
      <c r="CU54" s="307"/>
      <c r="CV54" s="307"/>
      <c r="CW54" s="307"/>
      <c r="CX54" s="307"/>
      <c r="CY54" s="9"/>
      <c r="CZ54" s="9"/>
      <c r="DA54" s="9"/>
      <c r="DB54" s="9"/>
      <c r="DC54" s="9"/>
      <c r="DD54" s="9"/>
      <c r="DE54" s="307"/>
      <c r="DF54" s="307"/>
      <c r="DG54" s="307"/>
      <c r="DH54" s="307"/>
      <c r="DI54" s="307"/>
      <c r="DJ54" s="307"/>
      <c r="DK54" s="307"/>
      <c r="EF54" s="307"/>
      <c r="EG54" s="307"/>
      <c r="EH54" s="307"/>
      <c r="EI54" s="307"/>
      <c r="EJ54" s="307"/>
      <c r="EK54" s="307"/>
    </row>
    <row r="55" spans="1:141" ht="14.1" customHeight="1">
      <c r="A55" s="11"/>
      <c r="B55" s="308"/>
      <c r="C55" s="122" t="s">
        <v>71</v>
      </c>
      <c r="D55" s="405"/>
      <c r="E55" s="200">
        <f>E31*VLOOKUP(E29,S83:U121,2,0)/1000</f>
        <v>29.9</v>
      </c>
      <c r="F55" s="197"/>
      <c r="G55" s="122" t="s">
        <v>70</v>
      </c>
      <c r="H55" s="405"/>
      <c r="I55" s="199">
        <f>IF(Tabelle1!AC6=0,I35,E39)</f>
        <v>0</v>
      </c>
      <c r="J55" s="196"/>
      <c r="K55" s="122" t="s">
        <v>69</v>
      </c>
      <c r="L55" s="405"/>
      <c r="M55" s="198">
        <f>IF(Tabelle1!M2,Tabelle1!M1,Tabelle1!M8)</f>
        <v>12.08593208361204</v>
      </c>
      <c r="N55" s="21"/>
      <c r="O55" s="9"/>
      <c r="Q55" s="9"/>
      <c r="W55" s="45"/>
      <c r="X55" s="45"/>
      <c r="Y55" s="180"/>
      <c r="Z55" s="179"/>
      <c r="AA55" s="179"/>
      <c r="AB55" s="179"/>
      <c r="AC55" s="179"/>
      <c r="AD55" s="169"/>
      <c r="AI55" s="282"/>
      <c r="AJ55" s="43"/>
      <c r="AK55" s="43"/>
      <c r="AL55" s="50"/>
      <c r="AM55" s="49"/>
      <c r="AN55" s="159"/>
      <c r="AO55" s="159"/>
      <c r="AP55" s="159"/>
      <c r="AQ55" s="159"/>
      <c r="BD55" s="282"/>
      <c r="BE55" s="282"/>
      <c r="BF55" s="282"/>
      <c r="BG55" s="282"/>
      <c r="BH55" s="282"/>
      <c r="BI55" s="282"/>
      <c r="BJ55" s="282"/>
      <c r="BK55" s="282"/>
      <c r="BL55" s="282"/>
      <c r="BM55" s="282"/>
      <c r="BN55" s="10"/>
      <c r="BO55" s="10"/>
      <c r="BP55" s="10"/>
      <c r="BQ55" s="10"/>
      <c r="BR55" s="10"/>
      <c r="BS55" s="10"/>
      <c r="BT55" s="10"/>
      <c r="BU55" s="10"/>
      <c r="BV55" s="10"/>
      <c r="BW55" s="10"/>
      <c r="CE55" s="307"/>
      <c r="CF55" s="307"/>
      <c r="CG55" s="307"/>
      <c r="CH55" s="307"/>
      <c r="CI55" s="307"/>
      <c r="CJ55" s="307"/>
      <c r="CK55" s="307"/>
      <c r="CL55" s="307"/>
      <c r="CM55" s="307"/>
      <c r="CN55" s="307"/>
      <c r="CO55" s="307"/>
      <c r="CP55" s="307"/>
      <c r="CQ55" s="307"/>
      <c r="CR55" s="307"/>
      <c r="CS55" s="307"/>
      <c r="CT55" s="307"/>
      <c r="CU55" s="307"/>
      <c r="CV55" s="307"/>
      <c r="CW55" s="307"/>
      <c r="CX55" s="307"/>
      <c r="CY55" s="9"/>
      <c r="CZ55" s="9"/>
      <c r="DA55" s="9"/>
      <c r="DB55" s="9"/>
      <c r="DC55" s="9"/>
      <c r="DD55" s="9"/>
      <c r="DE55" s="307"/>
      <c r="DF55" s="307"/>
      <c r="DG55" s="307"/>
      <c r="DH55" s="307"/>
      <c r="DI55" s="307"/>
      <c r="DJ55" s="307"/>
      <c r="DK55" s="307"/>
      <c r="EF55" s="307"/>
      <c r="EG55" s="307"/>
      <c r="EH55" s="307"/>
      <c r="EI55" s="307"/>
      <c r="EJ55" s="307"/>
      <c r="EK55" s="307"/>
    </row>
    <row r="56" spans="1:141" ht="2.4500000000000002" customHeight="1">
      <c r="A56" s="308"/>
      <c r="B56" s="308"/>
      <c r="C56" s="405"/>
      <c r="D56" s="405"/>
      <c r="E56" s="197"/>
      <c r="F56" s="197"/>
      <c r="G56" s="405"/>
      <c r="H56" s="405"/>
      <c r="I56" s="196"/>
      <c r="J56" s="196"/>
      <c r="K56" s="405"/>
      <c r="L56" s="405"/>
      <c r="M56" s="21"/>
      <c r="N56" s="21"/>
      <c r="O56" s="110"/>
      <c r="P56" s="10"/>
      <c r="Q56" s="181"/>
      <c r="W56" s="45"/>
      <c r="X56" s="45"/>
      <c r="Y56" s="178"/>
      <c r="Z56" s="177"/>
      <c r="AA56" s="177"/>
      <c r="AB56" s="177"/>
      <c r="AC56" s="177"/>
      <c r="AD56" s="169"/>
      <c r="AI56" s="282"/>
      <c r="AJ56" s="43"/>
      <c r="AK56" s="43"/>
      <c r="AL56" s="50"/>
      <c r="AM56" s="49"/>
      <c r="AN56" s="159"/>
      <c r="AO56" s="159"/>
      <c r="AP56" s="159"/>
      <c r="AQ56" s="159"/>
      <c r="BC56" s="171"/>
      <c r="BD56" s="170"/>
      <c r="BE56" s="170"/>
      <c r="BF56" s="170"/>
      <c r="BG56" s="170"/>
      <c r="BH56" s="170"/>
      <c r="BI56" s="170"/>
      <c r="BJ56" s="170"/>
      <c r="BK56" s="282"/>
      <c r="BL56" s="282"/>
      <c r="BM56" s="282"/>
      <c r="BN56" s="10"/>
      <c r="BO56" s="10"/>
      <c r="BP56" s="10"/>
      <c r="BQ56" s="10"/>
      <c r="BR56" s="10"/>
      <c r="BS56" s="10"/>
      <c r="BT56" s="10"/>
      <c r="BU56" s="10"/>
      <c r="BV56" s="10"/>
      <c r="BW56" s="10"/>
      <c r="CE56" s="307"/>
      <c r="CF56" s="307"/>
      <c r="CG56" s="307"/>
      <c r="CH56" s="307"/>
      <c r="CI56" s="307"/>
      <c r="CJ56" s="307"/>
      <c r="CK56" s="307"/>
      <c r="CL56" s="307"/>
      <c r="CM56" s="307"/>
      <c r="CN56" s="307"/>
      <c r="CO56" s="307"/>
      <c r="CP56" s="307"/>
      <c r="CQ56" s="307"/>
      <c r="CR56" s="307"/>
      <c r="CS56" s="307"/>
      <c r="CT56" s="307"/>
      <c r="CU56" s="307"/>
      <c r="CV56" s="307"/>
      <c r="CW56" s="307"/>
      <c r="CX56" s="307"/>
      <c r="CY56" s="9"/>
      <c r="CZ56" s="9"/>
      <c r="DA56" s="9"/>
      <c r="DB56" s="9"/>
      <c r="DC56" s="9"/>
      <c r="DD56" s="9"/>
      <c r="DE56" s="307"/>
      <c r="DF56" s="307"/>
      <c r="DG56" s="307"/>
      <c r="DH56" s="307"/>
      <c r="DI56" s="307"/>
      <c r="DJ56" s="307"/>
      <c r="DK56" s="307"/>
      <c r="EF56" s="307"/>
      <c r="EG56" s="307"/>
      <c r="EH56" s="307"/>
      <c r="EI56" s="307"/>
      <c r="EJ56" s="307"/>
      <c r="EK56" s="307"/>
    </row>
    <row r="57" spans="1:141" ht="16.5" customHeight="1">
      <c r="A57" s="11"/>
      <c r="B57" s="308"/>
      <c r="C57" s="122" t="s">
        <v>23</v>
      </c>
      <c r="D57" s="405"/>
      <c r="E57" s="194">
        <f>E55*E33</f>
        <v>27209</v>
      </c>
      <c r="F57" s="26"/>
      <c r="G57" s="122" t="s">
        <v>68</v>
      </c>
      <c r="H57" s="405"/>
      <c r="I57" s="194">
        <f>(E57*Tabelle1!F12-I55)</f>
        <v>27209</v>
      </c>
      <c r="J57" s="26"/>
      <c r="K57" s="341" t="s">
        <v>159</v>
      </c>
      <c r="L57" s="25"/>
      <c r="M57" s="408">
        <f>IF(Tabelle1!AE14&gt;100%,"geht nicht",Tabelle1!AE14)</f>
        <v>0</v>
      </c>
      <c r="N57" s="193"/>
      <c r="O57" s="9"/>
      <c r="W57" s="45"/>
      <c r="X57" s="45"/>
      <c r="Y57" s="45"/>
      <c r="Z57" s="173"/>
      <c r="AA57" s="310"/>
      <c r="AB57" s="173"/>
      <c r="AC57" s="173"/>
      <c r="AD57" s="169"/>
      <c r="AI57" s="282"/>
      <c r="AJ57" s="43"/>
      <c r="AK57" s="43"/>
      <c r="AL57" s="50"/>
      <c r="AM57" s="49"/>
      <c r="AN57" s="159"/>
      <c r="AO57" s="159"/>
      <c r="AP57" s="159"/>
      <c r="AQ57" s="159"/>
      <c r="BC57" s="174"/>
      <c r="BD57" s="282"/>
      <c r="BE57" s="282"/>
      <c r="BF57" s="310"/>
      <c r="BG57" s="282"/>
      <c r="BH57" s="282"/>
      <c r="BI57" s="282"/>
      <c r="BJ57" s="282"/>
      <c r="BK57" s="282"/>
      <c r="BL57" s="282"/>
      <c r="BM57" s="282"/>
      <c r="BN57" s="10"/>
      <c r="BO57" s="10"/>
      <c r="BP57" s="10"/>
      <c r="BQ57" s="10"/>
      <c r="BR57" s="10"/>
      <c r="BS57" s="10"/>
      <c r="BT57" s="10"/>
      <c r="BU57" s="10"/>
      <c r="BV57" s="10"/>
      <c r="BW57" s="10"/>
      <c r="CE57" s="307"/>
      <c r="CF57" s="307"/>
      <c r="CG57" s="307"/>
      <c r="CH57" s="307"/>
      <c r="CI57" s="307"/>
      <c r="CJ57" s="307"/>
      <c r="CK57" s="307"/>
      <c r="CL57" s="307"/>
      <c r="CM57" s="307"/>
      <c r="CN57" s="307"/>
      <c r="CO57" s="307"/>
      <c r="CP57" s="307"/>
      <c r="CQ57" s="307"/>
      <c r="CR57" s="307"/>
      <c r="CS57" s="307"/>
      <c r="CT57" s="307"/>
      <c r="CU57" s="307"/>
      <c r="CV57" s="307"/>
      <c r="CW57" s="307"/>
      <c r="CX57" s="307"/>
      <c r="CY57" s="9"/>
      <c r="CZ57" s="9"/>
      <c r="DA57" s="9"/>
      <c r="DB57" s="9"/>
      <c r="DC57" s="9"/>
      <c r="DD57" s="9"/>
      <c r="DE57" s="307"/>
      <c r="DF57" s="307"/>
      <c r="DG57" s="307"/>
      <c r="DH57" s="307"/>
      <c r="DI57" s="307"/>
      <c r="DJ57" s="307"/>
      <c r="DK57" s="307"/>
      <c r="EF57" s="307"/>
      <c r="EG57" s="307"/>
      <c r="EH57" s="307"/>
      <c r="EI57" s="307"/>
      <c r="EJ57" s="307"/>
      <c r="EK57" s="307"/>
    </row>
    <row r="58" spans="1:141" ht="2.4500000000000002" customHeight="1">
      <c r="A58" s="308"/>
      <c r="B58" s="308"/>
      <c r="C58" s="405"/>
      <c r="D58" s="405"/>
      <c r="E58" s="26"/>
      <c r="F58" s="26"/>
      <c r="G58" s="405"/>
      <c r="H58" s="405"/>
      <c r="I58" s="26"/>
      <c r="J58" s="26"/>
      <c r="K58" s="25"/>
      <c r="L58" s="25"/>
      <c r="M58" s="193"/>
      <c r="N58" s="193"/>
      <c r="O58" s="110"/>
      <c r="W58" s="45"/>
      <c r="X58" s="45"/>
      <c r="Y58" s="45"/>
      <c r="Z58" s="173"/>
      <c r="AA58" s="310"/>
      <c r="AB58" s="173"/>
      <c r="AC58" s="173"/>
      <c r="AD58" s="169"/>
      <c r="AI58" s="282"/>
      <c r="AJ58" s="43"/>
      <c r="AK58" s="43"/>
      <c r="AL58" s="50"/>
      <c r="AM58" s="49"/>
      <c r="AN58" s="159"/>
      <c r="AO58" s="159"/>
      <c r="AP58" s="159"/>
      <c r="AQ58" s="159"/>
      <c r="BD58" s="168"/>
      <c r="BE58" s="168"/>
      <c r="BF58" s="168"/>
      <c r="BG58" s="172"/>
      <c r="BH58" s="168"/>
      <c r="BI58" s="168"/>
      <c r="BJ58" s="168"/>
      <c r="BK58" s="282"/>
      <c r="BL58" s="282"/>
      <c r="BM58" s="282"/>
      <c r="BN58" s="10"/>
      <c r="BO58" s="10"/>
      <c r="BP58" s="10"/>
      <c r="BQ58" s="10"/>
      <c r="BR58" s="10"/>
      <c r="BS58" s="10"/>
      <c r="BT58" s="10"/>
      <c r="BU58" s="10"/>
      <c r="BV58" s="10"/>
      <c r="BW58" s="10"/>
      <c r="CE58" s="307"/>
      <c r="CF58" s="307"/>
      <c r="CG58" s="307"/>
      <c r="CH58" s="307"/>
      <c r="CI58" s="307"/>
      <c r="CJ58" s="307"/>
      <c r="CK58" s="307"/>
      <c r="CL58" s="307"/>
      <c r="CM58" s="307"/>
      <c r="CN58" s="307"/>
      <c r="CO58" s="307"/>
      <c r="CP58" s="307"/>
      <c r="CQ58" s="307"/>
      <c r="CR58" s="307"/>
      <c r="CS58" s="307"/>
      <c r="CT58" s="307"/>
      <c r="CU58" s="307"/>
      <c r="CV58" s="307"/>
      <c r="CW58" s="307"/>
      <c r="CX58" s="307"/>
      <c r="CY58" s="9"/>
      <c r="CZ58" s="9"/>
      <c r="DA58" s="9"/>
      <c r="DB58" s="9"/>
      <c r="DC58" s="9"/>
      <c r="DD58" s="9"/>
      <c r="DE58" s="307"/>
      <c r="DF58" s="307"/>
      <c r="DG58" s="307"/>
      <c r="DH58" s="307"/>
      <c r="DI58" s="307"/>
      <c r="DJ58" s="307"/>
      <c r="DK58" s="307"/>
      <c r="EF58" s="307"/>
      <c r="EG58" s="307"/>
      <c r="EH58" s="307"/>
      <c r="EI58" s="307"/>
      <c r="EJ58" s="307"/>
      <c r="EK58" s="307"/>
    </row>
    <row r="59" spans="1:141" ht="16.5" customHeight="1">
      <c r="A59" s="11"/>
      <c r="B59" s="308"/>
      <c r="C59" s="122" t="s">
        <v>66</v>
      </c>
      <c r="D59" s="405"/>
      <c r="E59" s="192">
        <f>E31*VLOOKUP(E29,S83:U121,3,0)</f>
        <v>187.45</v>
      </c>
      <c r="F59" s="30"/>
      <c r="G59" s="122" t="str">
        <f>IF(Tabelle1!AC6=0,"Systempreis inkl. Speicher","Systempreis")</f>
        <v>Systempreis</v>
      </c>
      <c r="H59" s="405"/>
      <c r="I59" s="668">
        <f>IF(Tabelle1!AC6=0,(M31+M33)/E55,M31/E55)</f>
        <v>1177.8595317725753</v>
      </c>
      <c r="J59" s="183"/>
      <c r="K59" s="25" t="s">
        <v>65</v>
      </c>
      <c r="L59" s="25"/>
      <c r="M59" s="190">
        <f>IF(E21=0,0,I55/E21)</f>
        <v>0</v>
      </c>
      <c r="N59" s="189"/>
      <c r="O59" s="9"/>
      <c r="Q59" s="175"/>
      <c r="W59" s="45"/>
      <c r="X59" s="56"/>
      <c r="Y59" s="45"/>
      <c r="Z59" s="55"/>
      <c r="AA59" s="55"/>
      <c r="AB59" s="55"/>
      <c r="AC59" s="55"/>
      <c r="AD59" s="169"/>
      <c r="AI59" s="282"/>
      <c r="AJ59" s="43"/>
      <c r="AK59" s="43"/>
      <c r="AL59" s="50"/>
      <c r="AM59" s="49"/>
      <c r="AN59" s="159"/>
      <c r="AO59" s="159"/>
      <c r="AP59" s="159"/>
      <c r="AQ59" s="159"/>
      <c r="BD59" s="282"/>
      <c r="BE59" s="282"/>
      <c r="BF59" s="282"/>
      <c r="BG59" s="282"/>
      <c r="BH59" s="282"/>
      <c r="BI59" s="282"/>
      <c r="BJ59" s="282"/>
      <c r="BK59" s="282"/>
      <c r="BL59" s="282"/>
      <c r="BM59" s="282"/>
      <c r="BN59" s="10"/>
      <c r="BO59" s="10"/>
      <c r="BP59" s="10"/>
      <c r="BQ59" s="10"/>
      <c r="BR59" s="10"/>
      <c r="BS59" s="10"/>
      <c r="BT59" s="10"/>
      <c r="BU59" s="10"/>
      <c r="BV59" s="10"/>
      <c r="BW59" s="10"/>
      <c r="CE59" s="307"/>
      <c r="CF59" s="307"/>
      <c r="CG59" s="307"/>
      <c r="CH59" s="307"/>
      <c r="CI59" s="307"/>
      <c r="CJ59" s="307"/>
      <c r="CK59" s="307"/>
      <c r="CL59" s="307"/>
      <c r="CM59" s="307"/>
      <c r="CN59" s="307"/>
      <c r="CO59" s="307"/>
      <c r="CP59" s="307"/>
      <c r="CQ59" s="307"/>
      <c r="CR59" s="307"/>
      <c r="CS59" s="307"/>
      <c r="CT59" s="307"/>
      <c r="CU59" s="307"/>
      <c r="CV59" s="307"/>
      <c r="CW59" s="307"/>
      <c r="CX59" s="307"/>
      <c r="CY59" s="9"/>
      <c r="CZ59" s="9"/>
      <c r="DA59" s="9"/>
      <c r="DB59" s="9"/>
      <c r="DC59" s="9"/>
      <c r="DD59" s="9"/>
      <c r="DE59" s="307"/>
      <c r="DF59" s="307"/>
      <c r="DG59" s="307"/>
      <c r="DH59" s="307"/>
      <c r="DI59" s="307"/>
      <c r="DJ59" s="307"/>
      <c r="DK59" s="307"/>
      <c r="EF59" s="307"/>
      <c r="EG59" s="307"/>
      <c r="EH59" s="307"/>
      <c r="EI59" s="307"/>
      <c r="EJ59" s="307"/>
      <c r="EK59" s="307"/>
    </row>
    <row r="60" spans="1:141" ht="2.4500000000000002" customHeight="1">
      <c r="A60" s="308"/>
      <c r="B60" s="308"/>
      <c r="C60" s="405"/>
      <c r="D60" s="405"/>
      <c r="E60" s="30"/>
      <c r="F60" s="30"/>
      <c r="G60" s="405"/>
      <c r="H60" s="405"/>
      <c r="I60" s="183"/>
      <c r="J60" s="183"/>
      <c r="K60" s="25"/>
      <c r="L60" s="25"/>
      <c r="M60" s="189"/>
      <c r="N60" s="189"/>
      <c r="O60" s="110"/>
      <c r="P60" s="10"/>
      <c r="Q60" s="141"/>
      <c r="W60" s="45"/>
      <c r="X60" s="56"/>
      <c r="Y60" s="45"/>
      <c r="Z60" s="55"/>
      <c r="AA60" s="55"/>
      <c r="AB60" s="55"/>
      <c r="AC60" s="55"/>
      <c r="AD60" s="169"/>
      <c r="AI60" s="282"/>
      <c r="AJ60" s="43"/>
      <c r="AK60" s="43"/>
      <c r="AL60" s="50"/>
      <c r="AM60" s="49"/>
      <c r="AN60" s="159"/>
      <c r="AO60" s="159"/>
      <c r="AP60" s="159"/>
      <c r="AQ60" s="159"/>
      <c r="BC60" s="171"/>
      <c r="BD60" s="170"/>
      <c r="BE60" s="170"/>
      <c r="BF60" s="170"/>
      <c r="BG60" s="170"/>
      <c r="BH60" s="170"/>
      <c r="BI60" s="170"/>
      <c r="BJ60" s="170"/>
      <c r="BK60" s="282"/>
      <c r="BL60" s="282"/>
      <c r="BM60" s="282"/>
      <c r="BN60" s="10"/>
      <c r="BO60" s="10"/>
      <c r="BP60" s="10"/>
      <c r="BQ60" s="10"/>
      <c r="BR60" s="10"/>
      <c r="BS60" s="10"/>
      <c r="BT60" s="10"/>
      <c r="BU60" s="10"/>
      <c r="BV60" s="10"/>
      <c r="BW60" s="10"/>
      <c r="CE60" s="307"/>
      <c r="CF60" s="307"/>
      <c r="CG60" s="307"/>
      <c r="CH60" s="307"/>
      <c r="CI60" s="307"/>
      <c r="CJ60" s="307"/>
      <c r="CK60" s="307"/>
      <c r="CL60" s="307"/>
      <c r="CM60" s="307"/>
      <c r="CN60" s="307"/>
      <c r="CO60" s="307"/>
      <c r="CP60" s="307"/>
      <c r="CQ60" s="307"/>
      <c r="CR60" s="307"/>
      <c r="CS60" s="307"/>
      <c r="CT60" s="307"/>
      <c r="CU60" s="307"/>
      <c r="CV60" s="307"/>
      <c r="CW60" s="307"/>
      <c r="CX60" s="307"/>
      <c r="CY60" s="9"/>
      <c r="CZ60" s="9"/>
      <c r="DA60" s="9"/>
      <c r="DB60" s="9"/>
      <c r="DC60" s="9"/>
      <c r="DD60" s="9"/>
      <c r="DE60" s="307"/>
      <c r="DF60" s="307"/>
      <c r="DG60" s="307"/>
      <c r="DH60" s="307"/>
      <c r="DI60" s="307"/>
      <c r="DJ60" s="307"/>
      <c r="DK60" s="307"/>
      <c r="EF60" s="307"/>
      <c r="EG60" s="307"/>
      <c r="EH60" s="307"/>
      <c r="EI60" s="307"/>
      <c r="EJ60" s="307"/>
      <c r="EK60" s="307"/>
    </row>
    <row r="61" spans="1:141" ht="16.5" customHeight="1">
      <c r="C61" s="125"/>
      <c r="D61" s="18"/>
      <c r="E61" s="125"/>
      <c r="F61" s="18"/>
      <c r="G61" s="341" t="s">
        <v>64</v>
      </c>
      <c r="H61" s="343"/>
      <c r="I61" s="188">
        <f>100*E74/(IF(E35="ja",Tabelle1!CB37,E57*20))</f>
        <v>10.02205152706825</v>
      </c>
      <c r="J61" s="183"/>
      <c r="K61" s="125"/>
      <c r="L61" s="18"/>
      <c r="M61" s="125"/>
      <c r="N61" s="21"/>
      <c r="O61" s="9"/>
      <c r="Q61" s="141"/>
      <c r="W61" s="45"/>
      <c r="X61" s="56"/>
      <c r="Y61" s="45"/>
      <c r="Z61" s="55"/>
      <c r="AA61" s="55"/>
      <c r="AB61" s="55"/>
      <c r="AC61" s="55"/>
      <c r="AD61" s="169"/>
      <c r="AI61" s="282"/>
      <c r="AJ61" s="43"/>
      <c r="AK61" s="43"/>
      <c r="AL61" s="50"/>
      <c r="AM61" s="49"/>
      <c r="BD61" s="282"/>
      <c r="BE61" s="282"/>
      <c r="BF61" s="282"/>
      <c r="BG61" s="282"/>
      <c r="BH61" s="282"/>
      <c r="BI61" s="282"/>
      <c r="BJ61" s="282"/>
      <c r="BK61" s="282"/>
      <c r="BL61" s="282"/>
      <c r="BM61" s="282"/>
      <c r="BN61" s="10"/>
      <c r="BO61" s="10"/>
      <c r="BP61" s="10"/>
      <c r="BQ61" s="10"/>
      <c r="BR61" s="10"/>
      <c r="BS61" s="10"/>
      <c r="BT61" s="10"/>
      <c r="BU61" s="10"/>
      <c r="BV61" s="10"/>
      <c r="BW61" s="10"/>
      <c r="CE61" s="307"/>
      <c r="CF61" s="307"/>
      <c r="CG61" s="307"/>
      <c r="CH61" s="307"/>
      <c r="CI61" s="307"/>
      <c r="CJ61" s="307"/>
      <c r="CK61" s="307"/>
      <c r="CL61" s="307"/>
      <c r="CM61" s="307"/>
      <c r="CN61" s="307"/>
      <c r="CO61" s="307"/>
      <c r="CP61" s="307"/>
      <c r="CQ61" s="307"/>
      <c r="CR61" s="307"/>
      <c r="CS61" s="307"/>
      <c r="CT61" s="307"/>
      <c r="CU61" s="307"/>
      <c r="CV61" s="307"/>
      <c r="CW61" s="307"/>
      <c r="CX61" s="307"/>
      <c r="CY61" s="9"/>
      <c r="CZ61" s="9"/>
      <c r="DA61" s="9"/>
      <c r="DB61" s="9"/>
      <c r="DC61" s="9"/>
      <c r="DD61" s="9"/>
      <c r="DE61" s="307"/>
      <c r="DF61" s="307"/>
      <c r="DG61" s="307"/>
      <c r="DH61" s="307"/>
      <c r="DI61" s="307"/>
      <c r="DJ61" s="307"/>
      <c r="DK61" s="307"/>
      <c r="EF61" s="307"/>
      <c r="EG61" s="307"/>
      <c r="EH61" s="307"/>
      <c r="EI61" s="307"/>
      <c r="EJ61" s="307"/>
      <c r="EK61" s="307"/>
    </row>
    <row r="62" spans="1:141" ht="2.1" customHeight="1">
      <c r="A62" s="10"/>
      <c r="C62" s="10"/>
      <c r="E62" s="10"/>
      <c r="G62" s="184"/>
      <c r="H62" s="184"/>
      <c r="I62" s="340"/>
      <c r="J62" s="340"/>
      <c r="K62" s="182"/>
      <c r="L62" s="182"/>
      <c r="M62" s="339"/>
      <c r="N62" s="21"/>
      <c r="O62" s="10"/>
      <c r="P62" s="10"/>
      <c r="Q62" s="141"/>
      <c r="W62" s="74"/>
      <c r="X62" s="56"/>
      <c r="Y62" s="45"/>
      <c r="Z62" s="55"/>
      <c r="AA62" s="55"/>
      <c r="AB62" s="55"/>
      <c r="AC62" s="55"/>
      <c r="AD62" s="169"/>
      <c r="AI62" s="282"/>
      <c r="AJ62" s="43"/>
      <c r="AK62" s="43"/>
      <c r="AL62" s="50"/>
      <c r="AM62" s="49"/>
      <c r="BE62" s="282"/>
      <c r="BF62" s="310"/>
      <c r="BG62" s="282"/>
      <c r="BH62" s="282"/>
      <c r="BI62" s="282"/>
      <c r="BJ62" s="282"/>
      <c r="BK62" s="282"/>
      <c r="BL62" s="282"/>
      <c r="BM62" s="282"/>
      <c r="BN62" s="10"/>
      <c r="BO62" s="10"/>
      <c r="BP62" s="10"/>
      <c r="BQ62" s="10"/>
      <c r="BR62" s="10"/>
      <c r="BS62" s="10"/>
      <c r="BT62" s="10"/>
      <c r="BU62" s="10"/>
      <c r="BV62" s="10"/>
      <c r="BW62" s="10"/>
      <c r="CE62" s="307"/>
      <c r="CF62" s="307"/>
      <c r="CG62" s="307"/>
      <c r="CH62" s="307"/>
      <c r="CI62" s="307"/>
      <c r="CJ62" s="307"/>
      <c r="CK62" s="307"/>
      <c r="CL62" s="307"/>
      <c r="CM62" s="307"/>
      <c r="CN62" s="307"/>
      <c r="CO62" s="307"/>
      <c r="CP62" s="307"/>
      <c r="CQ62" s="307"/>
      <c r="CR62" s="307"/>
      <c r="CS62" s="307"/>
      <c r="CT62" s="307"/>
      <c r="CU62" s="307"/>
      <c r="CV62" s="307"/>
      <c r="CW62" s="307"/>
      <c r="CX62" s="307"/>
      <c r="CY62" s="9"/>
      <c r="CZ62" s="9"/>
      <c r="DA62" s="9"/>
      <c r="DB62" s="9"/>
      <c r="DC62" s="9"/>
      <c r="DD62" s="9"/>
      <c r="DE62" s="307"/>
      <c r="DF62" s="307"/>
      <c r="DG62" s="307"/>
      <c r="DH62" s="307"/>
      <c r="DI62" s="307"/>
      <c r="DJ62" s="307"/>
      <c r="DK62" s="307"/>
      <c r="EF62" s="307"/>
      <c r="EG62" s="307"/>
      <c r="EH62" s="307"/>
      <c r="EI62" s="307"/>
      <c r="EJ62" s="307"/>
      <c r="EK62" s="307"/>
    </row>
    <row r="63" spans="1:141" ht="2.4500000000000002" customHeight="1">
      <c r="C63" s="351"/>
      <c r="D63" s="351"/>
      <c r="E63" s="352"/>
      <c r="F63" s="352"/>
      <c r="G63" s="353"/>
      <c r="H63" s="353"/>
      <c r="I63" s="352"/>
      <c r="J63" s="354"/>
      <c r="K63" s="354"/>
      <c r="L63" s="354"/>
      <c r="M63" s="354"/>
      <c r="N63" s="308"/>
      <c r="O63" s="128"/>
      <c r="P63" s="10"/>
      <c r="Q63" s="141"/>
      <c r="W63" s="74"/>
      <c r="X63" s="56"/>
      <c r="Y63" s="45"/>
      <c r="Z63" s="55"/>
      <c r="AA63" s="55"/>
      <c r="AB63" s="55"/>
      <c r="AC63" s="55"/>
      <c r="AE63" s="159"/>
      <c r="AF63" s="167"/>
      <c r="AG63" s="282"/>
      <c r="AI63" s="282"/>
      <c r="AJ63" s="43"/>
      <c r="AK63" s="43"/>
      <c r="AL63" s="50"/>
      <c r="AM63" s="49"/>
      <c r="BD63" s="153"/>
      <c r="BE63" s="153"/>
      <c r="BF63" s="309"/>
      <c r="BG63" s="153"/>
      <c r="BH63" s="153"/>
      <c r="BI63" s="153"/>
      <c r="BJ63" s="153"/>
      <c r="BK63" s="153"/>
      <c r="BL63" s="153"/>
      <c r="BM63" s="153"/>
      <c r="BN63" s="10"/>
      <c r="BO63" s="10"/>
      <c r="BP63" s="10"/>
      <c r="BQ63" s="10"/>
      <c r="BR63" s="10"/>
      <c r="BS63" s="10"/>
      <c r="BT63" s="10"/>
      <c r="BU63" s="10"/>
      <c r="BV63" s="10"/>
      <c r="BW63" s="10"/>
      <c r="CE63" s="307"/>
      <c r="CF63" s="307"/>
      <c r="CG63" s="307"/>
      <c r="CH63" s="307"/>
      <c r="CI63" s="307"/>
      <c r="CJ63" s="307"/>
      <c r="CK63" s="307"/>
      <c r="CL63" s="307"/>
      <c r="CM63" s="307"/>
      <c r="CN63" s="307"/>
      <c r="CO63" s="307"/>
      <c r="CP63" s="307"/>
      <c r="CQ63" s="307"/>
      <c r="CR63" s="307"/>
      <c r="CS63" s="307"/>
      <c r="CT63" s="307"/>
      <c r="CU63" s="307"/>
      <c r="CV63" s="307"/>
      <c r="CW63" s="307"/>
      <c r="CX63" s="307"/>
      <c r="CY63" s="9"/>
      <c r="CZ63" s="9"/>
      <c r="DA63" s="9"/>
      <c r="DB63" s="9"/>
      <c r="DC63" s="9"/>
      <c r="DD63" s="9"/>
      <c r="DE63" s="307"/>
      <c r="DF63" s="307"/>
      <c r="DG63" s="307"/>
      <c r="DH63" s="307"/>
      <c r="DI63" s="307"/>
      <c r="DJ63" s="307"/>
      <c r="DK63" s="307"/>
      <c r="EF63" s="307"/>
      <c r="EG63" s="307"/>
      <c r="EH63" s="307"/>
      <c r="EI63" s="307"/>
      <c r="EJ63" s="307"/>
      <c r="EK63" s="307"/>
    </row>
    <row r="64" spans="1:141" ht="16.5" customHeight="1">
      <c r="C64" s="122" t="s">
        <v>45</v>
      </c>
      <c r="D64" s="328"/>
      <c r="E64" s="119">
        <f>E37*20</f>
        <v>19320</v>
      </c>
      <c r="F64" s="405"/>
      <c r="H64" s="45"/>
      <c r="J64" s="328"/>
      <c r="N64" s="308"/>
      <c r="O64" s="128"/>
      <c r="P64" s="10"/>
      <c r="Q64" s="141"/>
      <c r="W64" s="74"/>
      <c r="X64" s="56"/>
      <c r="Y64" s="45"/>
      <c r="Z64" s="55"/>
      <c r="AA64" s="55"/>
      <c r="AB64" s="55"/>
      <c r="AC64" s="55"/>
      <c r="AI64" s="282"/>
      <c r="AJ64" s="43"/>
      <c r="AK64" s="43"/>
      <c r="AL64" s="50"/>
      <c r="AM64" s="49"/>
      <c r="BD64" s="153"/>
      <c r="BE64" s="153"/>
      <c r="BF64" s="309"/>
      <c r="BG64" s="153"/>
      <c r="BH64" s="153"/>
      <c r="BI64" s="153"/>
      <c r="BJ64" s="153"/>
      <c r="BK64" s="153"/>
      <c r="BL64" s="10"/>
      <c r="BM64" s="10"/>
      <c r="BN64" s="309"/>
      <c r="BO64" s="10"/>
      <c r="BP64" s="10"/>
      <c r="BQ64" s="10"/>
      <c r="BR64" s="10"/>
      <c r="BS64" s="10"/>
      <c r="BT64" s="10"/>
      <c r="BU64" s="10"/>
      <c r="BV64" s="10"/>
      <c r="BW64" s="10"/>
      <c r="CD64" s="307"/>
      <c r="CE64" s="307"/>
      <c r="CF64" s="307"/>
      <c r="CG64" s="307"/>
      <c r="CH64" s="307"/>
      <c r="CI64" s="307"/>
      <c r="CJ64" s="307"/>
      <c r="CK64" s="307"/>
      <c r="CL64" s="307"/>
      <c r="CM64" s="307"/>
      <c r="CN64" s="307"/>
      <c r="CO64" s="307"/>
      <c r="CP64" s="307"/>
      <c r="CQ64" s="307"/>
      <c r="CR64" s="307"/>
      <c r="CS64" s="307"/>
      <c r="CT64" s="307"/>
      <c r="CU64" s="307"/>
      <c r="CV64" s="307"/>
      <c r="CW64" s="307"/>
      <c r="CX64" s="9"/>
      <c r="CY64" s="9"/>
      <c r="CZ64" s="9"/>
      <c r="DA64" s="9"/>
      <c r="DB64" s="9"/>
      <c r="DC64" s="9"/>
      <c r="DD64" s="307"/>
      <c r="DE64" s="307"/>
      <c r="DF64" s="307"/>
      <c r="DG64" s="307"/>
      <c r="DH64" s="307"/>
      <c r="DI64" s="307"/>
      <c r="DJ64" s="307"/>
      <c r="DK64" s="307"/>
      <c r="EF64" s="307"/>
      <c r="EG64" s="307"/>
      <c r="EH64" s="307"/>
      <c r="EI64" s="307"/>
      <c r="EJ64" s="307"/>
      <c r="EK64" s="307"/>
    </row>
    <row r="65" spans="1:141" ht="2.4500000000000002" customHeight="1">
      <c r="C65" s="122"/>
      <c r="D65" s="710"/>
      <c r="E65" s="123"/>
      <c r="F65" s="405"/>
      <c r="H65" s="45"/>
      <c r="J65" s="252"/>
      <c r="K65" s="711"/>
      <c r="L65" s="252"/>
      <c r="M65" s="407"/>
      <c r="N65" s="308"/>
      <c r="O65" s="128"/>
      <c r="P65" s="10"/>
      <c r="Q65" s="141"/>
      <c r="W65" s="166"/>
      <c r="X65" s="56"/>
      <c r="Y65" s="45"/>
      <c r="Z65" s="55"/>
      <c r="AA65" s="55"/>
      <c r="AB65" s="55"/>
      <c r="AC65" s="55"/>
      <c r="AI65" s="282"/>
      <c r="AJ65" s="43"/>
      <c r="AK65" s="43"/>
      <c r="AL65" s="50"/>
      <c r="AM65" s="49"/>
      <c r="BD65" s="153"/>
      <c r="BE65" s="162"/>
      <c r="BF65" s="153"/>
      <c r="BG65" s="153"/>
      <c r="BH65" s="309"/>
      <c r="BI65" s="309"/>
      <c r="BJ65" s="309"/>
      <c r="BK65" s="309"/>
      <c r="BL65" s="10"/>
      <c r="BM65" s="10"/>
      <c r="BN65" s="10"/>
      <c r="BO65" s="10"/>
      <c r="BP65" s="10"/>
      <c r="BQ65" s="10"/>
      <c r="BR65" s="10"/>
      <c r="BS65" s="10"/>
      <c r="BT65" s="10"/>
      <c r="BU65" s="10"/>
      <c r="BV65" s="10"/>
      <c r="BW65" s="10"/>
      <c r="CD65" s="307"/>
      <c r="CE65" s="307"/>
      <c r="CF65" s="307"/>
      <c r="CG65" s="307"/>
      <c r="CH65" s="307"/>
      <c r="CI65" s="307"/>
      <c r="CJ65" s="307"/>
      <c r="CK65" s="307"/>
      <c r="CL65" s="307"/>
      <c r="CM65" s="307"/>
      <c r="CN65" s="307"/>
      <c r="CO65" s="307"/>
      <c r="CP65" s="307"/>
      <c r="CQ65" s="307"/>
      <c r="CR65" s="307"/>
      <c r="CS65" s="307"/>
      <c r="CT65" s="307"/>
      <c r="CU65" s="307"/>
      <c r="CV65" s="307"/>
      <c r="CW65" s="307"/>
      <c r="CX65" s="9"/>
      <c r="CY65" s="9"/>
      <c r="CZ65" s="9"/>
      <c r="DA65" s="9"/>
      <c r="DB65" s="9"/>
      <c r="DC65" s="9"/>
      <c r="DD65" s="307"/>
      <c r="DE65" s="307"/>
      <c r="DF65" s="307"/>
      <c r="DG65" s="307"/>
      <c r="DH65" s="307"/>
      <c r="DI65" s="307"/>
      <c r="DJ65" s="307"/>
      <c r="DK65" s="307"/>
      <c r="EF65" s="307"/>
      <c r="EG65" s="307"/>
      <c r="EH65" s="307"/>
      <c r="EI65" s="307"/>
      <c r="EJ65" s="307"/>
      <c r="EK65" s="307"/>
    </row>
    <row r="66" spans="1:141" ht="16.5" customHeight="1">
      <c r="C66" s="122" t="s">
        <v>39</v>
      </c>
      <c r="D66" s="328"/>
      <c r="E66" s="119">
        <f>M37+(M45*(1-M41))</f>
        <v>35218</v>
      </c>
      <c r="F66" s="405"/>
      <c r="G66" s="122" t="str">
        <f>K82</f>
        <v>Vergütung</v>
      </c>
      <c r="H66" s="45"/>
      <c r="I66" s="119">
        <f>K109</f>
        <v>73139.036473230022</v>
      </c>
      <c r="J66" s="243"/>
      <c r="K66" s="711" t="s">
        <v>34</v>
      </c>
      <c r="L66" s="25"/>
      <c r="M66" s="327">
        <f>Tabelle1!A45</f>
        <v>2.2534925573571361E-2</v>
      </c>
      <c r="N66" s="308"/>
      <c r="O66" s="123"/>
      <c r="P66" s="10"/>
      <c r="Q66" s="141"/>
      <c r="W66" s="74"/>
      <c r="X66" s="56"/>
      <c r="Y66" s="45"/>
      <c r="Z66" s="55"/>
      <c r="AA66" s="55"/>
      <c r="AB66" s="55"/>
      <c r="AC66" s="55"/>
      <c r="AI66" s="282"/>
      <c r="AJ66" s="43"/>
      <c r="AK66" s="43"/>
      <c r="AL66" s="50"/>
      <c r="AM66" s="49"/>
      <c r="BC66" s="309"/>
      <c r="BD66" s="153"/>
      <c r="BE66" s="162"/>
      <c r="BF66" s="162"/>
      <c r="BG66" s="162"/>
      <c r="BH66" s="162"/>
      <c r="BI66" s="158"/>
      <c r="BJ66" s="158"/>
      <c r="BK66" s="157"/>
      <c r="BL66" s="165"/>
      <c r="BM66" s="164"/>
      <c r="BN66" s="10"/>
      <c r="BO66" s="156"/>
      <c r="BP66" s="10"/>
      <c r="BQ66" s="10"/>
      <c r="BR66" s="10"/>
      <c r="BS66" s="10"/>
      <c r="BT66" s="10"/>
      <c r="BU66" s="10"/>
      <c r="BV66" s="10"/>
      <c r="BW66" s="10"/>
      <c r="CD66" s="307"/>
      <c r="CE66" s="307"/>
      <c r="CF66" s="307"/>
      <c r="CG66" s="307"/>
      <c r="CH66" s="307"/>
      <c r="CI66" s="307"/>
      <c r="CJ66" s="307"/>
      <c r="CK66" s="307"/>
      <c r="CL66" s="307"/>
      <c r="CM66" s="307"/>
      <c r="CN66" s="307"/>
      <c r="CO66" s="307"/>
      <c r="CP66" s="307"/>
      <c r="CQ66" s="307"/>
      <c r="CR66" s="307"/>
      <c r="CS66" s="307"/>
      <c r="CT66" s="307"/>
      <c r="CU66" s="307"/>
      <c r="CV66" s="307"/>
      <c r="CW66" s="307"/>
      <c r="CX66" s="9"/>
      <c r="CY66" s="9"/>
      <c r="CZ66" s="9"/>
      <c r="DA66" s="9"/>
      <c r="DB66" s="9"/>
      <c r="DC66" s="9"/>
      <c r="DD66" s="307"/>
      <c r="DE66" s="307"/>
      <c r="DF66" s="307"/>
      <c r="DG66" s="307"/>
      <c r="DH66" s="307"/>
      <c r="DI66" s="307"/>
      <c r="DJ66" s="307"/>
      <c r="DK66" s="307"/>
      <c r="EF66" s="307"/>
      <c r="EG66" s="307"/>
      <c r="EH66" s="307"/>
      <c r="EI66" s="307"/>
      <c r="EJ66" s="307"/>
      <c r="EK66" s="307"/>
    </row>
    <row r="67" spans="1:141" ht="2.4500000000000002" customHeight="1">
      <c r="C67" s="122"/>
      <c r="D67" s="710"/>
      <c r="E67" s="121"/>
      <c r="F67" s="405"/>
      <c r="G67" s="122"/>
      <c r="H67" s="45"/>
      <c r="I67" s="123"/>
      <c r="J67" s="252"/>
      <c r="K67" s="711"/>
      <c r="L67" s="252"/>
      <c r="M67" s="252"/>
      <c r="N67" s="308"/>
      <c r="O67" s="123"/>
      <c r="P67" s="10"/>
      <c r="Q67" s="141"/>
      <c r="W67" s="74"/>
      <c r="X67" s="56"/>
      <c r="Y67" s="45"/>
      <c r="Z67" s="55"/>
      <c r="AA67" s="55"/>
      <c r="AB67" s="55"/>
      <c r="AC67" s="55"/>
      <c r="AI67" s="282"/>
      <c r="AJ67" s="43"/>
      <c r="AK67" s="43"/>
      <c r="AL67" s="50"/>
      <c r="AM67" s="49"/>
      <c r="BC67" s="309"/>
      <c r="BD67" s="153"/>
      <c r="BE67" s="162"/>
      <c r="BF67" s="162"/>
      <c r="BG67" s="162"/>
      <c r="BH67" s="162"/>
      <c r="BI67" s="158"/>
      <c r="BJ67" s="158"/>
      <c r="BK67" s="157"/>
      <c r="BL67" s="309"/>
      <c r="BM67" s="161"/>
      <c r="BN67" s="10"/>
      <c r="BO67" s="156"/>
      <c r="BP67" s="10"/>
      <c r="BQ67" s="10"/>
      <c r="BR67" s="10"/>
      <c r="BS67" s="10"/>
      <c r="BT67" s="10"/>
      <c r="BU67" s="10"/>
      <c r="BV67" s="10"/>
      <c r="BW67" s="10"/>
      <c r="CD67" s="307"/>
      <c r="CE67" s="307"/>
      <c r="CF67" s="307"/>
      <c r="CG67" s="307"/>
      <c r="CH67" s="307"/>
      <c r="CI67" s="307"/>
      <c r="CJ67" s="307"/>
      <c r="CK67" s="307"/>
      <c r="CL67" s="307"/>
      <c r="CM67" s="307"/>
      <c r="CN67" s="307"/>
      <c r="CO67" s="307"/>
      <c r="CP67" s="307"/>
      <c r="CQ67" s="307"/>
      <c r="CR67" s="307"/>
      <c r="CS67" s="307"/>
      <c r="CT67" s="307"/>
      <c r="CU67" s="307"/>
      <c r="CV67" s="307"/>
      <c r="CW67" s="307"/>
      <c r="CX67" s="9"/>
      <c r="CY67" s="9"/>
      <c r="CZ67" s="9"/>
      <c r="DA67" s="9"/>
      <c r="DB67" s="9"/>
      <c r="DC67" s="9"/>
      <c r="DD67" s="307"/>
      <c r="DE67" s="307"/>
      <c r="DF67" s="307"/>
      <c r="DG67" s="307"/>
      <c r="DH67" s="307"/>
      <c r="DI67" s="307"/>
      <c r="DJ67" s="307"/>
      <c r="DK67" s="307"/>
      <c r="EF67" s="307"/>
      <c r="EG67" s="307"/>
      <c r="EH67" s="307"/>
      <c r="EI67" s="307"/>
      <c r="EJ67" s="307"/>
      <c r="EK67" s="307"/>
    </row>
    <row r="68" spans="1:141" ht="16.5" customHeight="1">
      <c r="C68" s="122" t="s">
        <v>38</v>
      </c>
      <c r="D68" s="328"/>
      <c r="E68" s="119">
        <f>-G109</f>
        <v>0</v>
      </c>
      <c r="F68" s="405"/>
      <c r="G68" s="122" t="str">
        <f>M82</f>
        <v>Boni</v>
      </c>
      <c r="H68" s="45"/>
      <c r="I68" s="119">
        <f>M109</f>
        <v>0</v>
      </c>
      <c r="J68" s="328"/>
      <c r="K68" s="711" t="s">
        <v>44</v>
      </c>
      <c r="L68" s="328"/>
      <c r="M68" s="119">
        <f>(SUM(K83:K103)+SUM(M83:M103)+SUM(O83:O103))-E74</f>
        <v>14519.686473230002</v>
      </c>
      <c r="N68" s="308"/>
      <c r="O68" s="10"/>
      <c r="P68" s="10"/>
      <c r="Q68" s="141"/>
      <c r="Y68" s="74"/>
      <c r="Z68" s="56"/>
      <c r="AA68" s="45"/>
      <c r="AB68" s="55"/>
      <c r="AC68" s="55"/>
      <c r="AD68" s="55"/>
      <c r="AE68" s="55"/>
      <c r="AK68" s="282"/>
      <c r="AL68" s="43"/>
      <c r="AM68" s="43"/>
      <c r="AN68" s="50"/>
      <c r="AO68" s="49"/>
      <c r="AP68" s="282"/>
      <c r="BT68" s="158"/>
      <c r="BU68" s="158"/>
      <c r="BV68" s="157"/>
      <c r="BW68" s="309"/>
      <c r="CU68" s="307"/>
      <c r="CV68" s="307"/>
      <c r="CW68" s="307"/>
      <c r="CX68" s="307"/>
      <c r="CY68" s="307"/>
      <c r="CZ68" s="307"/>
      <c r="DA68" s="307"/>
      <c r="DB68" s="307"/>
      <c r="DC68" s="307"/>
      <c r="DD68" s="307"/>
      <c r="DE68" s="307"/>
      <c r="DF68" s="307"/>
      <c r="DG68" s="307"/>
      <c r="DH68" s="307"/>
      <c r="DI68" s="307"/>
      <c r="DJ68" s="307"/>
      <c r="DK68" s="307"/>
      <c r="DO68" s="9"/>
      <c r="DP68" s="9"/>
      <c r="DQ68" s="9"/>
      <c r="DR68" s="9"/>
      <c r="DS68" s="9"/>
      <c r="DT68" s="9"/>
      <c r="EF68" s="307"/>
      <c r="EG68" s="307"/>
      <c r="EH68" s="307"/>
      <c r="EI68" s="307"/>
      <c r="EJ68" s="307"/>
      <c r="EK68" s="307"/>
    </row>
    <row r="69" spans="1:141" ht="2.4500000000000002" customHeight="1">
      <c r="C69" s="122"/>
      <c r="D69" s="710"/>
      <c r="E69" s="123"/>
      <c r="F69" s="405"/>
      <c r="G69" s="122"/>
      <c r="H69" s="45"/>
      <c r="I69" s="123"/>
      <c r="J69" s="710"/>
      <c r="K69" s="711"/>
      <c r="L69" s="405"/>
      <c r="M69" s="123"/>
      <c r="N69" s="308"/>
      <c r="O69" s="10"/>
      <c r="P69" s="10"/>
      <c r="Q69" s="141"/>
      <c r="Y69" s="74"/>
      <c r="Z69" s="56"/>
      <c r="AA69" s="45"/>
      <c r="AB69" s="55"/>
      <c r="AC69" s="55"/>
      <c r="AD69" s="55"/>
      <c r="AE69" s="55"/>
      <c r="AK69" s="282"/>
      <c r="AL69" s="43"/>
      <c r="AM69" s="43"/>
      <c r="AN69" s="50"/>
      <c r="AO69" s="49"/>
      <c r="AP69" s="282"/>
      <c r="BT69" s="158"/>
      <c r="BU69" s="158"/>
      <c r="BV69" s="157"/>
      <c r="BW69" s="309"/>
      <c r="CU69" s="307"/>
      <c r="CV69" s="307"/>
      <c r="CW69" s="307"/>
      <c r="CX69" s="307"/>
      <c r="CY69" s="307"/>
      <c r="CZ69" s="307"/>
      <c r="DA69" s="307"/>
      <c r="DB69" s="307"/>
      <c r="DC69" s="307"/>
      <c r="DD69" s="307"/>
      <c r="DE69" s="307"/>
      <c r="DF69" s="307"/>
      <c r="DG69" s="307"/>
      <c r="DH69" s="307"/>
      <c r="DI69" s="307"/>
      <c r="DJ69" s="307"/>
      <c r="DK69" s="307"/>
      <c r="DO69" s="9"/>
      <c r="DP69" s="9"/>
      <c r="DQ69" s="9"/>
      <c r="DR69" s="9"/>
      <c r="DS69" s="9"/>
      <c r="DT69" s="9"/>
      <c r="EF69" s="307"/>
      <c r="EG69" s="307"/>
      <c r="EH69" s="307"/>
      <c r="EI69" s="307"/>
      <c r="EJ69" s="307"/>
      <c r="EK69" s="307"/>
    </row>
    <row r="70" spans="1:141" ht="16.5" customHeight="1">
      <c r="C70" s="122" t="s">
        <v>36</v>
      </c>
      <c r="D70" s="328"/>
      <c r="E70" s="119">
        <f>-E109</f>
        <v>0</v>
      </c>
      <c r="F70" s="405"/>
      <c r="G70" s="122" t="str">
        <f>O82</f>
        <v>gesparter Strombezug</v>
      </c>
      <c r="H70" s="45"/>
      <c r="I70" s="119">
        <f>O109</f>
        <v>0</v>
      </c>
      <c r="J70" s="328"/>
      <c r="K70" s="711" t="s">
        <v>35</v>
      </c>
      <c r="L70" s="25"/>
      <c r="M70" s="327">
        <f>Tabelle1!B47</f>
        <v>1.858930094683103E-2</v>
      </c>
      <c r="N70" s="308"/>
      <c r="O70" s="326"/>
      <c r="P70" s="10"/>
      <c r="Q70" s="141"/>
      <c r="Y70" s="74"/>
      <c r="Z70" s="56"/>
      <c r="AA70" s="45"/>
      <c r="AB70" s="55"/>
      <c r="AC70" s="55"/>
      <c r="AD70" s="55"/>
      <c r="AE70" s="55"/>
      <c r="AK70" s="282"/>
      <c r="AL70" s="43"/>
      <c r="AM70" s="43"/>
      <c r="AN70" s="50"/>
      <c r="AO70" s="49"/>
      <c r="AP70" s="282"/>
      <c r="BT70" s="158"/>
      <c r="BU70" s="158"/>
      <c r="BV70" s="157"/>
      <c r="BW70" s="309"/>
      <c r="CU70" s="307"/>
      <c r="CV70" s="307"/>
      <c r="CW70" s="307"/>
      <c r="CX70" s="307"/>
      <c r="CY70" s="307"/>
      <c r="CZ70" s="307"/>
      <c r="DA70" s="307"/>
      <c r="DB70" s="307"/>
      <c r="DC70" s="307"/>
      <c r="DD70" s="307"/>
      <c r="DE70" s="307"/>
      <c r="DF70" s="307"/>
      <c r="DG70" s="307"/>
      <c r="DH70" s="307"/>
      <c r="DI70" s="307"/>
      <c r="DJ70" s="307"/>
      <c r="DK70" s="307"/>
      <c r="DO70" s="9"/>
      <c r="DP70" s="9"/>
      <c r="DQ70" s="9"/>
      <c r="DR70" s="9"/>
      <c r="DS70" s="9"/>
      <c r="DT70" s="9"/>
      <c r="EF70" s="307"/>
      <c r="EG70" s="307"/>
      <c r="EH70" s="307"/>
      <c r="EI70" s="307"/>
      <c r="EJ70" s="307"/>
      <c r="EK70" s="307"/>
    </row>
    <row r="71" spans="1:141" ht="2.4500000000000002" customHeight="1">
      <c r="C71" s="122"/>
      <c r="D71" s="710"/>
      <c r="E71" s="121"/>
      <c r="F71" s="405"/>
      <c r="G71" s="122"/>
      <c r="H71" s="45"/>
      <c r="I71" s="123"/>
      <c r="J71" s="45"/>
      <c r="K71" s="45"/>
      <c r="L71" s="45"/>
      <c r="M71" s="45"/>
      <c r="N71" s="308"/>
      <c r="O71" s="18"/>
      <c r="P71" s="10"/>
      <c r="Q71" s="141"/>
      <c r="Y71" s="74"/>
      <c r="Z71" s="56"/>
      <c r="AA71" s="45"/>
      <c r="AB71" s="55"/>
      <c r="AC71" s="55"/>
      <c r="AD71" s="55"/>
      <c r="AE71" s="55"/>
      <c r="AK71" s="282"/>
      <c r="AL71" s="43"/>
      <c r="AM71" s="43"/>
      <c r="AN71" s="50"/>
      <c r="AO71" s="49"/>
      <c r="AP71" s="282"/>
      <c r="BT71" s="158"/>
      <c r="BU71" s="158"/>
      <c r="BV71" s="157"/>
      <c r="BW71" s="309"/>
      <c r="CU71" s="307"/>
      <c r="CV71" s="307"/>
      <c r="CW71" s="307"/>
      <c r="CX71" s="307"/>
      <c r="CY71" s="307"/>
      <c r="CZ71" s="307"/>
      <c r="DA71" s="307"/>
      <c r="DB71" s="307"/>
      <c r="DC71" s="307"/>
      <c r="DD71" s="307"/>
      <c r="DE71" s="307"/>
      <c r="DF71" s="307"/>
      <c r="DG71" s="307"/>
      <c r="DH71" s="307"/>
      <c r="DI71" s="307"/>
      <c r="DJ71" s="307"/>
      <c r="DK71" s="307"/>
      <c r="DO71" s="9"/>
      <c r="DP71" s="9"/>
      <c r="DQ71" s="9"/>
      <c r="DR71" s="9"/>
      <c r="DS71" s="9"/>
      <c r="DT71" s="9"/>
      <c r="EF71" s="307"/>
      <c r="EG71" s="307"/>
      <c r="EH71" s="307"/>
      <c r="EI71" s="307"/>
      <c r="EJ71" s="307"/>
      <c r="EK71" s="307"/>
    </row>
    <row r="72" spans="1:141" ht="16.5" customHeight="1">
      <c r="C72" s="122" t="s">
        <v>33</v>
      </c>
      <c r="D72" s="328"/>
      <c r="E72" s="119">
        <f>Tabelle1!BJ36</f>
        <v>0</v>
      </c>
      <c r="F72" s="406"/>
      <c r="G72" s="140" t="s">
        <v>580</v>
      </c>
      <c r="H72" s="713"/>
      <c r="I72" s="108">
        <f>K110</f>
        <v>73139.036473230022</v>
      </c>
      <c r="J72" s="183"/>
      <c r="K72" s="711" t="s">
        <v>37</v>
      </c>
      <c r="L72" s="405"/>
      <c r="M72" s="119">
        <f>K110-(E74+(5*E37))</f>
        <v>13771.036473230022</v>
      </c>
      <c r="N72" s="21"/>
      <c r="O72" s="10"/>
      <c r="P72" s="10"/>
      <c r="Q72" s="141"/>
      <c r="Y72" s="74"/>
      <c r="Z72" s="56"/>
      <c r="AA72" s="45"/>
      <c r="AB72" s="55"/>
      <c r="AC72" s="55"/>
      <c r="AD72" s="55"/>
      <c r="AE72" s="55"/>
      <c r="AK72" s="282"/>
      <c r="AL72" s="43"/>
      <c r="AM72" s="43"/>
      <c r="AN72" s="50"/>
      <c r="AO72" s="49"/>
      <c r="AP72" s="282"/>
      <c r="BT72" s="158"/>
      <c r="BU72" s="158"/>
      <c r="BV72" s="157"/>
      <c r="BW72" s="309"/>
      <c r="CU72" s="307"/>
      <c r="CV72" s="307"/>
      <c r="CW72" s="307"/>
      <c r="CX72" s="307"/>
      <c r="CY72" s="307"/>
      <c r="CZ72" s="307"/>
      <c r="DA72" s="307"/>
      <c r="DB72" s="307"/>
      <c r="DC72" s="307"/>
      <c r="DD72" s="307"/>
      <c r="DE72" s="307"/>
      <c r="DF72" s="307"/>
      <c r="DG72" s="307"/>
      <c r="DH72" s="307"/>
      <c r="DI72" s="307"/>
      <c r="DJ72" s="307"/>
      <c r="DK72" s="307"/>
      <c r="DO72" s="9"/>
      <c r="DP72" s="9"/>
      <c r="DQ72" s="9"/>
      <c r="DR72" s="9"/>
      <c r="DS72" s="9"/>
      <c r="DT72" s="9"/>
      <c r="EF72" s="307"/>
      <c r="EG72" s="307"/>
      <c r="EH72" s="307"/>
      <c r="EI72" s="307"/>
      <c r="EJ72" s="307"/>
      <c r="EK72" s="307"/>
    </row>
    <row r="73" spans="1:141" ht="2.4500000000000002" customHeight="1">
      <c r="C73" s="122"/>
      <c r="D73" s="252"/>
      <c r="E73" s="125"/>
      <c r="F73" s="18"/>
      <c r="H73" s="45"/>
      <c r="I73" s="183"/>
      <c r="J73" s="183"/>
      <c r="K73" s="343"/>
      <c r="L73" s="343"/>
      <c r="M73" s="21"/>
      <c r="N73" s="21"/>
      <c r="O73" s="10"/>
      <c r="P73" s="10"/>
      <c r="Q73" s="141"/>
      <c r="Y73" s="74"/>
      <c r="Z73" s="56"/>
      <c r="AA73" s="45"/>
      <c r="AB73" s="55"/>
      <c r="AC73" s="55"/>
      <c r="AD73" s="55"/>
      <c r="AE73" s="55"/>
      <c r="AK73" s="282"/>
      <c r="AL73" s="43"/>
      <c r="AM73" s="43"/>
      <c r="AN73" s="50"/>
      <c r="AO73" s="49"/>
      <c r="AP73" s="282"/>
      <c r="BT73" s="158"/>
      <c r="BU73" s="158"/>
      <c r="BV73" s="157"/>
      <c r="BW73" s="309"/>
      <c r="CU73" s="307"/>
      <c r="CV73" s="307"/>
      <c r="CW73" s="307"/>
      <c r="CX73" s="307"/>
      <c r="CY73" s="307"/>
      <c r="CZ73" s="307"/>
      <c r="DA73" s="307"/>
      <c r="DB73" s="307"/>
      <c r="DC73" s="307"/>
      <c r="DD73" s="307"/>
      <c r="DE73" s="307"/>
      <c r="DF73" s="307"/>
      <c r="DG73" s="307"/>
      <c r="DH73" s="307"/>
      <c r="DI73" s="307"/>
      <c r="DJ73" s="307"/>
      <c r="DK73" s="307"/>
      <c r="DO73" s="9"/>
      <c r="DP73" s="9"/>
      <c r="DQ73" s="9"/>
      <c r="DR73" s="9"/>
      <c r="DS73" s="9"/>
      <c r="DT73" s="9"/>
      <c r="EF73" s="307"/>
      <c r="EG73" s="307"/>
      <c r="EH73" s="307"/>
      <c r="EI73" s="307"/>
      <c r="EJ73" s="307"/>
      <c r="EK73" s="307"/>
    </row>
    <row r="74" spans="1:141" ht="16.5" customHeight="1">
      <c r="C74" s="140" t="s">
        <v>32</v>
      </c>
      <c r="D74" s="712"/>
      <c r="E74" s="108">
        <f>E64+E66+E68+E70+E72</f>
        <v>54538</v>
      </c>
      <c r="F74" s="406"/>
      <c r="H74" s="45"/>
      <c r="I74" s="183"/>
      <c r="J74" s="183"/>
      <c r="K74" s="343"/>
      <c r="L74" s="343"/>
      <c r="M74" s="21"/>
      <c r="N74" s="21"/>
      <c r="O74" s="10"/>
      <c r="P74" s="308"/>
      <c r="Q74" s="356"/>
      <c r="R74" s="11"/>
      <c r="S74" s="11"/>
      <c r="Y74" s="74"/>
      <c r="Z74" s="56"/>
      <c r="AA74" s="45"/>
      <c r="AB74" s="55"/>
      <c r="AC74" s="55"/>
      <c r="AD74" s="55"/>
      <c r="AE74" s="55"/>
      <c r="AK74" s="282"/>
      <c r="AL74" s="43"/>
      <c r="AM74" s="43"/>
      <c r="AN74" s="50"/>
      <c r="AO74" s="49"/>
      <c r="AP74" s="282"/>
      <c r="BT74" s="158"/>
      <c r="BU74" s="158"/>
      <c r="BV74" s="157"/>
      <c r="BW74" s="309"/>
      <c r="CU74" s="307"/>
      <c r="CV74" s="307"/>
      <c r="CW74" s="307"/>
      <c r="CX74" s="307"/>
      <c r="CY74" s="307"/>
      <c r="CZ74" s="307"/>
      <c r="DA74" s="307"/>
      <c r="DB74" s="307"/>
      <c r="DC74" s="307"/>
      <c r="DD74" s="307"/>
      <c r="DE74" s="307"/>
      <c r="DF74" s="307"/>
      <c r="DG74" s="307"/>
      <c r="DH74" s="307"/>
      <c r="DI74" s="307"/>
      <c r="DJ74" s="307"/>
      <c r="DK74" s="307"/>
      <c r="DO74" s="9"/>
      <c r="DP74" s="9"/>
      <c r="DQ74" s="9"/>
      <c r="DR74" s="9"/>
      <c r="DS74" s="9"/>
      <c r="DT74" s="9"/>
      <c r="EF74" s="307"/>
      <c r="EG74" s="307"/>
      <c r="EH74" s="307"/>
      <c r="EI74" s="307"/>
      <c r="EJ74" s="307"/>
      <c r="EK74" s="307"/>
    </row>
    <row r="75" spans="1:141" ht="2.4500000000000002" customHeight="1">
      <c r="C75" s="406"/>
      <c r="D75" s="406"/>
      <c r="E75" s="406"/>
      <c r="F75" s="406"/>
      <c r="G75" s="355"/>
      <c r="H75" s="308"/>
      <c r="I75" s="183"/>
      <c r="J75" s="183"/>
      <c r="K75" s="182"/>
      <c r="L75" s="182"/>
      <c r="M75" s="21"/>
      <c r="N75" s="21"/>
      <c r="O75" s="10"/>
      <c r="P75" s="308"/>
      <c r="Q75" s="356"/>
      <c r="R75" s="11"/>
      <c r="S75" s="11"/>
      <c r="Y75" s="74"/>
      <c r="Z75" s="56"/>
      <c r="AA75" s="45"/>
      <c r="AB75" s="55"/>
      <c r="AC75" s="55"/>
      <c r="AD75" s="55"/>
      <c r="AE75" s="55"/>
      <c r="AK75" s="282"/>
      <c r="AL75" s="43"/>
      <c r="AM75" s="43"/>
      <c r="AN75" s="50"/>
      <c r="AO75" s="49"/>
      <c r="AP75" s="282"/>
      <c r="BT75" s="158"/>
      <c r="BU75" s="158"/>
      <c r="BV75" s="157"/>
      <c r="BW75" s="309"/>
      <c r="CU75" s="307"/>
      <c r="CV75" s="307"/>
      <c r="CW75" s="307"/>
      <c r="CX75" s="307"/>
      <c r="CY75" s="307"/>
      <c r="CZ75" s="307"/>
      <c r="DA75" s="307"/>
      <c r="DB75" s="307"/>
      <c r="DC75" s="307"/>
      <c r="DD75" s="307"/>
      <c r="DE75" s="307"/>
      <c r="DF75" s="307"/>
      <c r="DG75" s="307"/>
      <c r="DH75" s="307"/>
      <c r="DI75" s="307"/>
      <c r="DJ75" s="307"/>
      <c r="DK75" s="307"/>
      <c r="DO75" s="9"/>
      <c r="DP75" s="9"/>
      <c r="DQ75" s="9"/>
      <c r="DR75" s="9"/>
      <c r="DS75" s="9"/>
      <c r="DT75" s="9"/>
      <c r="EF75" s="307"/>
      <c r="EG75" s="307"/>
      <c r="EH75" s="307"/>
      <c r="EI75" s="307"/>
      <c r="EJ75" s="307"/>
      <c r="EK75" s="307"/>
    </row>
    <row r="76" spans="1:141" ht="0.75" customHeight="1">
      <c r="A76" s="10"/>
      <c r="C76" s="10"/>
      <c r="E76" s="10"/>
      <c r="G76" s="184"/>
      <c r="H76" s="184"/>
      <c r="I76" s="183"/>
      <c r="J76" s="183"/>
      <c r="K76" s="182"/>
      <c r="L76" s="182"/>
      <c r="M76" s="21"/>
      <c r="N76" s="21"/>
      <c r="O76" s="10"/>
      <c r="P76" s="10"/>
      <c r="Q76" s="141"/>
      <c r="R76" s="11"/>
      <c r="S76" s="11"/>
      <c r="Y76" s="74"/>
      <c r="Z76" s="56"/>
      <c r="AA76" s="45"/>
      <c r="AB76" s="55"/>
      <c r="AC76" s="55"/>
      <c r="AD76" s="55"/>
      <c r="AE76" s="55"/>
      <c r="AK76" s="282"/>
      <c r="AL76" s="43"/>
      <c r="AM76" s="43"/>
      <c r="AN76" s="50"/>
      <c r="AO76" s="49"/>
      <c r="AP76" s="282"/>
      <c r="BT76" s="158"/>
      <c r="BU76" s="158"/>
      <c r="BV76" s="157"/>
      <c r="BW76" s="309"/>
      <c r="CU76" s="307"/>
      <c r="CV76" s="307"/>
      <c r="CW76" s="307"/>
      <c r="CX76" s="307"/>
      <c r="CY76" s="307"/>
      <c r="CZ76" s="307"/>
      <c r="DA76" s="307"/>
      <c r="DB76" s="307"/>
      <c r="DC76" s="307"/>
      <c r="DD76" s="307"/>
      <c r="DE76" s="307"/>
      <c r="DF76" s="307"/>
      <c r="DG76" s="307"/>
      <c r="DH76" s="307"/>
      <c r="DI76" s="307"/>
      <c r="DJ76" s="307"/>
      <c r="DK76" s="307"/>
      <c r="DO76" s="9"/>
      <c r="DP76" s="9"/>
      <c r="DQ76" s="9"/>
      <c r="DR76" s="9"/>
      <c r="DS76" s="9"/>
      <c r="DT76" s="9"/>
      <c r="EF76" s="307"/>
      <c r="EG76" s="307"/>
      <c r="EH76" s="307"/>
      <c r="EI76" s="307"/>
      <c r="EJ76" s="307"/>
      <c r="EK76" s="307"/>
    </row>
    <row r="77" spans="1:141" s="10" customFormat="1" ht="0.75" customHeight="1">
      <c r="A77" s="307"/>
      <c r="G77" s="184"/>
      <c r="H77" s="184"/>
      <c r="I77" s="183"/>
      <c r="J77" s="183"/>
      <c r="K77" s="182"/>
      <c r="L77" s="182"/>
      <c r="M77" s="21"/>
      <c r="N77" s="21"/>
      <c r="O77" s="307"/>
      <c r="P77" s="307"/>
      <c r="Q77" s="141"/>
      <c r="R77" s="11"/>
      <c r="S77" s="11"/>
      <c r="T77" s="11"/>
      <c r="U77" s="308"/>
      <c r="W77" s="308"/>
      <c r="X77" s="308"/>
      <c r="Y77" s="74"/>
      <c r="Z77" s="56"/>
      <c r="AA77" s="45"/>
      <c r="AB77" s="55"/>
      <c r="AC77" s="55"/>
      <c r="AD77" s="55"/>
      <c r="AE77" s="55"/>
      <c r="AG77" s="308"/>
      <c r="AH77" s="308"/>
      <c r="AI77" s="308"/>
      <c r="AK77" s="282"/>
      <c r="AL77" s="43"/>
      <c r="AM77" s="43"/>
      <c r="AN77" s="50"/>
      <c r="AO77" s="49"/>
      <c r="AP77" s="282"/>
      <c r="AQ77" s="308"/>
      <c r="AR77" s="308"/>
      <c r="AS77" s="308"/>
      <c r="AT77" s="308"/>
      <c r="AU77" s="308"/>
      <c r="AV77" s="308"/>
      <c r="AW77" s="308"/>
      <c r="AX77" s="308"/>
      <c r="AY77" s="308"/>
      <c r="AZ77" s="308"/>
      <c r="BA77" s="308"/>
      <c r="BB77" s="308"/>
      <c r="BC77" s="308"/>
      <c r="BD77" s="308"/>
      <c r="BE77" s="308"/>
      <c r="BF77" s="308"/>
      <c r="BG77" s="308"/>
      <c r="BH77" s="308"/>
      <c r="BI77" s="308"/>
      <c r="BJ77" s="308"/>
      <c r="BK77" s="308"/>
      <c r="BL77" s="308"/>
      <c r="BM77" s="308"/>
      <c r="BN77" s="308"/>
      <c r="BO77" s="308"/>
      <c r="BP77" s="308"/>
      <c r="BQ77" s="308"/>
      <c r="BR77" s="308"/>
      <c r="BS77" s="308"/>
      <c r="BT77" s="282"/>
      <c r="BU77" s="282"/>
      <c r="BV77" s="282"/>
      <c r="BW77" s="282"/>
      <c r="DP77" s="110"/>
      <c r="DQ77" s="110"/>
      <c r="DR77" s="110"/>
      <c r="DS77" s="110"/>
      <c r="DT77" s="110"/>
      <c r="DU77" s="110"/>
    </row>
    <row r="78" spans="1:141" s="10" customFormat="1" ht="0.75" customHeight="1">
      <c r="A78" s="307"/>
      <c r="C78" s="307"/>
      <c r="E78" s="307"/>
      <c r="G78" s="307"/>
      <c r="I78" s="307"/>
      <c r="K78" s="307"/>
      <c r="M78" s="307"/>
      <c r="O78" s="307"/>
      <c r="P78" s="155"/>
      <c r="Q78" s="141"/>
      <c r="R78" s="11"/>
      <c r="S78" s="11"/>
      <c r="T78" s="11"/>
      <c r="U78" s="308"/>
      <c r="W78" s="308"/>
      <c r="X78" s="308"/>
      <c r="Y78" s="74"/>
      <c r="Z78" s="56"/>
      <c r="AA78" s="45"/>
      <c r="AB78" s="55"/>
      <c r="AC78" s="55"/>
      <c r="AD78" s="55"/>
      <c r="AE78" s="55"/>
      <c r="AK78" s="282"/>
      <c r="AL78" s="43"/>
      <c r="AM78" s="43"/>
      <c r="AN78" s="50"/>
      <c r="AO78" s="49"/>
      <c r="AP78" s="282"/>
      <c r="AQ78" s="308"/>
      <c r="AR78" s="308"/>
      <c r="AS78" s="308"/>
      <c r="AT78" s="308"/>
      <c r="AU78" s="308"/>
      <c r="AV78" s="308"/>
      <c r="AW78" s="308"/>
      <c r="AX78" s="308"/>
      <c r="AY78" s="308"/>
      <c r="AZ78" s="308"/>
      <c r="BA78" s="308"/>
      <c r="BB78" s="308"/>
      <c r="BC78" s="308"/>
      <c r="BD78" s="308"/>
      <c r="BE78" s="308"/>
      <c r="BF78" s="308"/>
      <c r="BG78" s="308"/>
      <c r="BH78" s="308"/>
      <c r="BI78" s="308"/>
      <c r="BJ78" s="308"/>
      <c r="BK78" s="308"/>
      <c r="BL78" s="308"/>
      <c r="BM78" s="308"/>
      <c r="BN78" s="308"/>
      <c r="BO78" s="308"/>
      <c r="BP78" s="308"/>
      <c r="BQ78" s="308"/>
      <c r="BR78" s="308"/>
      <c r="BS78" s="308"/>
      <c r="BT78" s="282"/>
      <c r="BU78" s="282"/>
      <c r="BV78" s="282"/>
      <c r="BW78" s="282"/>
      <c r="DP78" s="110"/>
      <c r="DQ78" s="110"/>
      <c r="DR78" s="110"/>
      <c r="DS78" s="110"/>
      <c r="DT78" s="110"/>
      <c r="DU78" s="110"/>
    </row>
    <row r="79" spans="1:141" ht="17.100000000000001" customHeight="1">
      <c r="A79" s="754" t="s">
        <v>63</v>
      </c>
      <c r="B79" s="754"/>
      <c r="C79" s="754"/>
      <c r="D79" s="754"/>
      <c r="E79" s="754"/>
      <c r="F79" s="754"/>
      <c r="G79" s="754"/>
      <c r="H79" s="740">
        <f>E57*20*0.000624*1000</f>
        <v>339568.31999999995</v>
      </c>
      <c r="I79" s="740"/>
      <c r="J79" s="742" t="s">
        <v>62</v>
      </c>
      <c r="K79" s="742"/>
      <c r="L79" s="741">
        <f>E57*20*0.001</f>
        <v>544.18000000000006</v>
      </c>
      <c r="M79" s="741"/>
      <c r="N79" s="741"/>
      <c r="O79" s="741"/>
      <c r="P79" s="741"/>
      <c r="Q79" s="741"/>
      <c r="R79" s="11"/>
      <c r="S79" s="11"/>
      <c r="Y79" s="74"/>
      <c r="Z79" s="56"/>
      <c r="AA79" s="45"/>
      <c r="AB79" s="55"/>
      <c r="AC79" s="55"/>
      <c r="AD79" s="55"/>
      <c r="AE79" s="55"/>
      <c r="AG79" s="10"/>
      <c r="AH79" s="10"/>
      <c r="AI79" s="10"/>
      <c r="AK79" s="282"/>
      <c r="AL79" s="43"/>
      <c r="AM79" s="43"/>
      <c r="AN79" s="50"/>
      <c r="AO79" s="49"/>
      <c r="AP79" s="282"/>
      <c r="BT79" s="282"/>
      <c r="BU79" s="282"/>
      <c r="BV79" s="282"/>
      <c r="BW79" s="282"/>
      <c r="CV79" s="307"/>
      <c r="CW79" s="307"/>
      <c r="CX79" s="307"/>
      <c r="CY79" s="307"/>
      <c r="CZ79" s="307"/>
      <c r="DA79" s="307"/>
      <c r="DB79" s="307"/>
      <c r="DC79" s="307"/>
      <c r="DD79" s="307"/>
      <c r="DE79" s="307"/>
      <c r="DF79" s="307"/>
      <c r="DG79" s="307"/>
      <c r="DH79" s="307"/>
      <c r="DI79" s="307"/>
      <c r="DJ79" s="307"/>
      <c r="DK79" s="307"/>
      <c r="DP79" s="9"/>
      <c r="DQ79" s="9"/>
      <c r="DR79" s="9"/>
      <c r="DS79" s="9"/>
      <c r="DT79" s="9"/>
      <c r="DU79" s="9"/>
      <c r="EF79" s="307"/>
      <c r="EG79" s="307"/>
      <c r="EH79" s="307"/>
      <c r="EI79" s="307"/>
      <c r="EJ79" s="307"/>
      <c r="EK79" s="307"/>
    </row>
    <row r="80" spans="1:141" s="10" customFormat="1" ht="17.100000000000001" customHeight="1">
      <c r="A80" s="754"/>
      <c r="B80" s="754"/>
      <c r="C80" s="754"/>
      <c r="D80" s="754"/>
      <c r="E80" s="754"/>
      <c r="F80" s="754"/>
      <c r="G80" s="754"/>
      <c r="H80" s="740"/>
      <c r="I80" s="740"/>
      <c r="J80" s="742"/>
      <c r="K80" s="742"/>
      <c r="L80" s="741"/>
      <c r="M80" s="741"/>
      <c r="N80" s="741"/>
      <c r="O80" s="741"/>
      <c r="P80" s="741"/>
      <c r="Q80" s="741"/>
      <c r="R80" s="307"/>
      <c r="S80" s="11"/>
      <c r="T80" s="11"/>
      <c r="U80" s="308"/>
      <c r="W80" s="308"/>
      <c r="X80" s="308"/>
      <c r="Y80" s="74"/>
      <c r="Z80" s="56"/>
      <c r="AA80" s="45"/>
      <c r="AB80" s="55"/>
      <c r="AC80" s="55"/>
      <c r="AD80" s="55"/>
      <c r="AE80" s="55"/>
      <c r="AG80" s="308"/>
      <c r="AH80" s="308"/>
      <c r="AI80" s="308"/>
      <c r="AK80" s="282"/>
      <c r="AL80" s="43"/>
      <c r="AM80" s="43"/>
      <c r="AN80" s="50"/>
      <c r="AO80" s="49"/>
      <c r="AP80" s="282"/>
      <c r="AQ80" s="308"/>
      <c r="AR80" s="308"/>
      <c r="AS80" s="308"/>
      <c r="AT80" s="308"/>
      <c r="AU80" s="308"/>
      <c r="AV80" s="308"/>
      <c r="AW80" s="308"/>
      <c r="AX80" s="308"/>
      <c r="AY80" s="308"/>
      <c r="AZ80" s="308"/>
      <c r="BA80" s="308"/>
      <c r="BB80" s="308"/>
      <c r="BC80" s="308"/>
      <c r="BD80" s="308"/>
      <c r="BE80" s="308"/>
      <c r="BF80" s="308"/>
      <c r="BG80" s="308"/>
      <c r="BH80" s="308"/>
      <c r="BI80" s="308"/>
      <c r="BJ80" s="308"/>
      <c r="BK80" s="308"/>
      <c r="BL80" s="308"/>
      <c r="BM80" s="308"/>
      <c r="BN80" s="308"/>
      <c r="BO80" s="308"/>
      <c r="BP80" s="308"/>
      <c r="BQ80" s="308"/>
      <c r="BR80" s="308"/>
      <c r="BS80" s="308"/>
      <c r="BT80" s="282"/>
      <c r="BU80" s="282"/>
      <c r="BV80" s="282"/>
      <c r="BW80" s="282"/>
      <c r="DP80" s="110"/>
      <c r="DQ80" s="110"/>
      <c r="DR80" s="110"/>
      <c r="DS80" s="110"/>
      <c r="DT80" s="110"/>
      <c r="DU80" s="110"/>
    </row>
    <row r="81" spans="1:141" ht="15.75" customHeight="1" thickBot="1">
      <c r="P81" s="176"/>
      <c r="Q81" s="141"/>
      <c r="Y81" s="74"/>
      <c r="Z81" s="56"/>
      <c r="AA81" s="45"/>
      <c r="AB81" s="55"/>
      <c r="AC81" s="55"/>
      <c r="AD81" s="55"/>
      <c r="AE81" s="55"/>
      <c r="AG81" s="10"/>
      <c r="AH81" s="10"/>
      <c r="AI81" s="10"/>
      <c r="AK81" s="282"/>
      <c r="AL81" s="43"/>
      <c r="AM81" s="43"/>
      <c r="AN81" s="50"/>
      <c r="AO81" s="49"/>
      <c r="AP81" s="282"/>
      <c r="BT81" s="282"/>
      <c r="BU81" s="282"/>
      <c r="BV81" s="282"/>
      <c r="BW81" s="282"/>
      <c r="CV81" s="307"/>
      <c r="CW81" s="307"/>
      <c r="CX81" s="307"/>
      <c r="CY81" s="307"/>
      <c r="CZ81" s="307"/>
      <c r="DA81" s="307"/>
      <c r="DB81" s="307"/>
      <c r="DC81" s="307"/>
      <c r="DD81" s="307"/>
      <c r="DE81" s="307"/>
      <c r="DF81" s="307"/>
      <c r="DG81" s="307"/>
      <c r="DH81" s="307"/>
      <c r="DI81" s="307"/>
      <c r="DJ81" s="307"/>
      <c r="DK81" s="307"/>
      <c r="DP81" s="9"/>
      <c r="DQ81" s="9"/>
      <c r="DR81" s="9"/>
      <c r="DS81" s="9"/>
      <c r="DT81" s="9"/>
      <c r="DU81" s="9"/>
      <c r="EF81" s="307"/>
      <c r="EG81" s="307"/>
      <c r="EH81" s="307"/>
      <c r="EI81" s="307"/>
      <c r="EJ81" s="307"/>
      <c r="EK81" s="307"/>
    </row>
    <row r="82" spans="1:141" ht="33" customHeight="1" thickBot="1">
      <c r="A82" s="393" t="s">
        <v>2</v>
      </c>
      <c r="B82" s="394"/>
      <c r="C82" s="395" t="s">
        <v>56</v>
      </c>
      <c r="D82" s="396"/>
      <c r="E82" s="395" t="s">
        <v>55</v>
      </c>
      <c r="F82" s="396"/>
      <c r="G82" s="395" t="s">
        <v>54</v>
      </c>
      <c r="H82" s="396"/>
      <c r="I82" s="397" t="s">
        <v>53</v>
      </c>
      <c r="J82" s="398"/>
      <c r="K82" s="399" t="s">
        <v>52</v>
      </c>
      <c r="L82" s="394"/>
      <c r="M82" s="399" t="s">
        <v>141</v>
      </c>
      <c r="N82" s="394"/>
      <c r="O82" s="400" t="s">
        <v>51</v>
      </c>
      <c r="P82" s="401"/>
      <c r="Q82" s="402" t="s">
        <v>50</v>
      </c>
      <c r="S82" s="416" t="s">
        <v>61</v>
      </c>
      <c r="T82" s="414" t="s">
        <v>60</v>
      </c>
      <c r="U82" s="415" t="s">
        <v>59</v>
      </c>
      <c r="Y82" s="74"/>
      <c r="Z82" s="56"/>
      <c r="AA82" s="45"/>
      <c r="AB82" s="55"/>
      <c r="AC82" s="55"/>
      <c r="AD82" s="55"/>
      <c r="AE82" s="55"/>
      <c r="AK82" s="282"/>
      <c r="AL82" s="43"/>
      <c r="AM82" s="43"/>
      <c r="AN82" s="50"/>
      <c r="AO82" s="49"/>
      <c r="AP82" s="282"/>
      <c r="BT82" s="10"/>
      <c r="BU82" s="10"/>
      <c r="BV82" s="10"/>
      <c r="BW82" s="10"/>
      <c r="CV82" s="307"/>
      <c r="CW82" s="307"/>
      <c r="CX82" s="307"/>
      <c r="CY82" s="307"/>
      <c r="CZ82" s="307"/>
      <c r="DA82" s="307"/>
      <c r="DB82" s="307"/>
      <c r="DC82" s="307"/>
      <c r="DD82" s="307"/>
      <c r="DE82" s="307"/>
      <c r="DF82" s="307"/>
      <c r="DG82" s="307"/>
      <c r="DH82" s="307"/>
      <c r="DI82" s="307"/>
      <c r="DJ82" s="307"/>
      <c r="DK82" s="307"/>
      <c r="DP82" s="9"/>
      <c r="DQ82" s="9"/>
      <c r="DR82" s="9"/>
      <c r="DS82" s="9"/>
      <c r="DT82" s="9"/>
      <c r="DU82" s="9"/>
      <c r="EF82" s="307"/>
      <c r="EG82" s="307"/>
      <c r="EH82" s="307"/>
      <c r="EI82" s="307"/>
      <c r="EJ82" s="307"/>
      <c r="EK82" s="307"/>
    </row>
    <row r="83" spans="1:141" ht="18" customHeight="1">
      <c r="A83" s="762">
        <f>E45</f>
        <v>2017</v>
      </c>
      <c r="B83" s="763"/>
      <c r="C83" s="763"/>
      <c r="D83" s="357"/>
      <c r="E83" s="358"/>
      <c r="F83" s="357"/>
      <c r="G83" s="358"/>
      <c r="H83" s="357"/>
      <c r="I83" s="359">
        <f>-M45</f>
        <v>0</v>
      </c>
      <c r="J83" s="360"/>
      <c r="K83" s="361">
        <f>K84/12*(13-E47)*Tabelle1!B13</f>
        <v>3288.4612606299997</v>
      </c>
      <c r="L83" s="362"/>
      <c r="M83" s="361">
        <f>Tabelle1!BQ16/12*(13-E47)</f>
        <v>0</v>
      </c>
      <c r="N83" s="362"/>
      <c r="O83" s="363">
        <f>Tabelle1!BF16</f>
        <v>0</v>
      </c>
      <c r="P83" s="364"/>
      <c r="Q83" s="365">
        <f>-M31+K83+M83+O83+E83+M43-$E$37+Tabelle1!AY16</f>
        <v>-32895.53873937</v>
      </c>
      <c r="S83" s="152" t="s">
        <v>544</v>
      </c>
      <c r="T83" s="151">
        <v>290</v>
      </c>
      <c r="U83" s="150">
        <v>1.63</v>
      </c>
      <c r="Y83" s="74"/>
      <c r="Z83" s="56"/>
      <c r="AA83" s="45"/>
      <c r="AB83" s="55"/>
      <c r="AC83" s="55"/>
      <c r="AD83" s="55"/>
      <c r="AE83" s="55"/>
      <c r="AK83" s="282"/>
      <c r="AL83" s="43"/>
      <c r="AM83" s="43"/>
      <c r="AN83" s="50"/>
      <c r="AO83" s="49"/>
      <c r="AP83" s="282"/>
      <c r="BT83" s="10"/>
      <c r="BU83" s="10"/>
      <c r="BV83" s="10"/>
      <c r="BW83" s="10"/>
      <c r="CV83" s="307"/>
      <c r="CW83" s="307"/>
      <c r="CX83" s="307"/>
      <c r="CY83" s="307"/>
      <c r="CZ83" s="307"/>
      <c r="DA83" s="307"/>
      <c r="DB83" s="307"/>
      <c r="DC83" s="307"/>
      <c r="DD83" s="307"/>
      <c r="DE83" s="307"/>
      <c r="DF83" s="307"/>
      <c r="DG83" s="307"/>
      <c r="DH83" s="307"/>
      <c r="DI83" s="307"/>
      <c r="DJ83" s="307"/>
      <c r="DK83" s="307"/>
      <c r="DP83" s="9"/>
      <c r="DQ83" s="9"/>
      <c r="DR83" s="9"/>
      <c r="DS83" s="9"/>
      <c r="DT83" s="9"/>
      <c r="DU83" s="9"/>
      <c r="EF83" s="307"/>
      <c r="EG83" s="307"/>
      <c r="EH83" s="307"/>
      <c r="EI83" s="307"/>
      <c r="EJ83" s="307"/>
      <c r="EK83" s="307"/>
    </row>
    <row r="84" spans="1:141" ht="18" customHeight="1">
      <c r="A84" s="366">
        <f t="shared" ref="A84:A108" si="0">A83+1</f>
        <v>2018</v>
      </c>
      <c r="B84" s="65"/>
      <c r="C84" s="367">
        <f>-Tabelle1!AN21</f>
        <v>0</v>
      </c>
      <c r="D84" s="368"/>
      <c r="E84" s="367">
        <f>-Tabelle1!AP21</f>
        <v>0</v>
      </c>
      <c r="F84" s="368"/>
      <c r="G84" s="367">
        <f>-Tabelle1!AO21</f>
        <v>0</v>
      </c>
      <c r="H84" s="368"/>
      <c r="I84" s="367">
        <f>-Tabelle1!AM21</f>
        <v>0</v>
      </c>
      <c r="J84" s="368"/>
      <c r="K84" s="369">
        <f>+((($E$57-Tabelle1!BC17-Tabelle1!BD17)*$M$55/100)+IF($E$55&gt;10000,0,0))*Tabelle1!$B$13</f>
        <v>3288.4612606300002</v>
      </c>
      <c r="L84" s="370"/>
      <c r="M84" s="369">
        <f>Tabelle1!BQ17</f>
        <v>0</v>
      </c>
      <c r="N84" s="370"/>
      <c r="O84" s="371">
        <f>Tabelle1!BF17</f>
        <v>0</v>
      </c>
      <c r="P84" s="362"/>
      <c r="Q84" s="372">
        <f>Q83+K84+M84+O84+E84-$E$37+Tabelle1!AY17</f>
        <v>-30573.077478740001</v>
      </c>
      <c r="S84" s="152" t="s">
        <v>547</v>
      </c>
      <c r="T84" s="151">
        <v>275</v>
      </c>
      <c r="U84" s="150">
        <v>1.61</v>
      </c>
      <c r="V84" s="11"/>
      <c r="Y84" s="74"/>
      <c r="Z84" s="56"/>
      <c r="AA84" s="45"/>
      <c r="AB84" s="55"/>
      <c r="AC84" s="55"/>
      <c r="AD84" s="55"/>
      <c r="AE84" s="55"/>
      <c r="AK84" s="282"/>
      <c r="AL84" s="43"/>
      <c r="AM84" s="43"/>
      <c r="AN84" s="50"/>
      <c r="AO84" s="49"/>
      <c r="AP84" s="282"/>
      <c r="BT84" s="10"/>
      <c r="BU84" s="10"/>
      <c r="BV84" s="10"/>
      <c r="BW84" s="10"/>
      <c r="CV84" s="307"/>
      <c r="CW84" s="307"/>
      <c r="CX84" s="307"/>
      <c r="CY84" s="307"/>
      <c r="CZ84" s="307"/>
      <c r="DA84" s="307"/>
      <c r="DB84" s="307"/>
      <c r="DC84" s="307"/>
      <c r="DD84" s="307"/>
      <c r="DE84" s="307"/>
      <c r="DF84" s="307"/>
      <c r="DG84" s="307"/>
      <c r="DH84" s="307"/>
      <c r="DI84" s="307"/>
      <c r="DJ84" s="307"/>
      <c r="DK84" s="307"/>
      <c r="DP84" s="9"/>
      <c r="DQ84" s="9"/>
      <c r="DR84" s="9"/>
      <c r="DS84" s="9"/>
      <c r="DT84" s="9"/>
      <c r="DU84" s="9"/>
      <c r="EF84" s="307"/>
      <c r="EG84" s="307"/>
      <c r="EH84" s="307"/>
      <c r="EI84" s="307"/>
      <c r="EJ84" s="307"/>
      <c r="EK84" s="307"/>
    </row>
    <row r="85" spans="1:141" ht="18" customHeight="1">
      <c r="A85" s="373">
        <f t="shared" si="0"/>
        <v>2019</v>
      </c>
      <c r="B85" s="65"/>
      <c r="C85" s="359">
        <f>-Tabelle1!AN25</f>
        <v>0</v>
      </c>
      <c r="D85" s="368"/>
      <c r="E85" s="359">
        <f>-Tabelle1!AP25</f>
        <v>0</v>
      </c>
      <c r="F85" s="368"/>
      <c r="G85" s="359">
        <f>-Tabelle1!AO25</f>
        <v>0</v>
      </c>
      <c r="H85" s="368"/>
      <c r="I85" s="359">
        <f>-Tabelle1!AM25</f>
        <v>0</v>
      </c>
      <c r="J85" s="368"/>
      <c r="K85" s="370">
        <f>+((($E$57-Tabelle1!BC18-Tabelle1!BD18)*$M$55/100)+IF($E$55&gt;10000,0,0))*Tabelle1!$B$13</f>
        <v>3288.4612606300002</v>
      </c>
      <c r="L85" s="370"/>
      <c r="M85" s="374">
        <f>Tabelle1!BQ18</f>
        <v>0</v>
      </c>
      <c r="N85" s="370"/>
      <c r="O85" s="363">
        <f>Tabelle1!BF18</f>
        <v>0</v>
      </c>
      <c r="P85" s="362"/>
      <c r="Q85" s="365">
        <f>Q84+K85+M85+O85+E85-$E$37+Tabelle1!AY18</f>
        <v>-28250.616218110001</v>
      </c>
      <c r="S85" s="152" t="s">
        <v>548</v>
      </c>
      <c r="T85" s="151">
        <v>330</v>
      </c>
      <c r="U85" s="150">
        <v>1.63</v>
      </c>
      <c r="Y85" s="74"/>
      <c r="Z85" s="56"/>
      <c r="AA85" s="45"/>
      <c r="AB85" s="55"/>
      <c r="AC85" s="55"/>
      <c r="AD85" s="55"/>
      <c r="AE85" s="55"/>
      <c r="AK85" s="282"/>
      <c r="AL85" s="43"/>
      <c r="AM85" s="43"/>
      <c r="AN85" s="50"/>
      <c r="AO85" s="49"/>
      <c r="AP85" s="282"/>
      <c r="BT85" s="10"/>
      <c r="BU85" s="10"/>
      <c r="BV85" s="10"/>
      <c r="BW85" s="10"/>
      <c r="CV85" s="307"/>
      <c r="CW85" s="307"/>
      <c r="CX85" s="307"/>
      <c r="CY85" s="307"/>
      <c r="CZ85" s="307"/>
      <c r="DA85" s="307"/>
      <c r="DB85" s="307"/>
      <c r="DC85" s="307"/>
      <c r="DD85" s="307"/>
      <c r="DE85" s="307"/>
      <c r="DF85" s="307"/>
      <c r="DG85" s="307"/>
      <c r="DH85" s="307"/>
      <c r="DI85" s="307"/>
      <c r="DJ85" s="307"/>
      <c r="DK85" s="307"/>
      <c r="DP85" s="9"/>
      <c r="DQ85" s="9"/>
      <c r="DR85" s="9"/>
      <c r="DS85" s="9"/>
      <c r="DT85" s="9"/>
      <c r="DU85" s="9"/>
      <c r="EF85" s="307"/>
      <c r="EG85" s="307"/>
      <c r="EH85" s="307"/>
      <c r="EI85" s="307"/>
      <c r="EJ85" s="307"/>
      <c r="EK85" s="307"/>
    </row>
    <row r="86" spans="1:141" ht="18" customHeight="1">
      <c r="A86" s="366">
        <f t="shared" si="0"/>
        <v>2020</v>
      </c>
      <c r="B86" s="65"/>
      <c r="C86" s="367">
        <f>-Tabelle1!AN29</f>
        <v>0</v>
      </c>
      <c r="D86" s="368"/>
      <c r="E86" s="367">
        <f>-Tabelle1!AP29</f>
        <v>0</v>
      </c>
      <c r="F86" s="368"/>
      <c r="G86" s="367">
        <f>-Tabelle1!AO29</f>
        <v>0</v>
      </c>
      <c r="H86" s="368"/>
      <c r="I86" s="367">
        <f>-Tabelle1!AM29</f>
        <v>0</v>
      </c>
      <c r="J86" s="368"/>
      <c r="K86" s="369">
        <f>+((($E$57-Tabelle1!BC19-Tabelle1!BD19)*$M$55/100)+IF($E$55&gt;10000,0,0))*Tabelle1!$B$13</f>
        <v>3288.4612606300002</v>
      </c>
      <c r="L86" s="370"/>
      <c r="M86" s="369">
        <f>Tabelle1!BQ19</f>
        <v>0</v>
      </c>
      <c r="N86" s="370"/>
      <c r="O86" s="371">
        <f>Tabelle1!BF19</f>
        <v>0</v>
      </c>
      <c r="P86" s="362"/>
      <c r="Q86" s="372">
        <f>Q85+K86+M86+O86+E86-$E$37+Tabelle1!AY19</f>
        <v>-25928.154957480001</v>
      </c>
      <c r="S86" s="152" t="s">
        <v>545</v>
      </c>
      <c r="T86" s="151">
        <v>260</v>
      </c>
      <c r="U86" s="150">
        <v>1.63</v>
      </c>
      <c r="Y86" s="74"/>
      <c r="Z86" s="56"/>
      <c r="AA86" s="45"/>
      <c r="AB86" s="55"/>
      <c r="AC86" s="55"/>
      <c r="AD86" s="55"/>
      <c r="AE86" s="55"/>
      <c r="AK86" s="282"/>
      <c r="AL86" s="43"/>
      <c r="AM86" s="43"/>
      <c r="AN86" s="50"/>
      <c r="AO86" s="49"/>
      <c r="AP86" s="282"/>
      <c r="BT86" s="10"/>
      <c r="BU86" s="10"/>
      <c r="BV86" s="10"/>
      <c r="BW86" s="10"/>
      <c r="CV86" s="307"/>
      <c r="CW86" s="307"/>
      <c r="CX86" s="307"/>
      <c r="CY86" s="307"/>
      <c r="CZ86" s="307"/>
      <c r="DA86" s="307"/>
      <c r="DB86" s="307"/>
      <c r="DC86" s="307"/>
      <c r="DD86" s="307"/>
      <c r="DE86" s="307"/>
      <c r="DF86" s="307"/>
      <c r="DG86" s="307"/>
      <c r="DH86" s="307"/>
      <c r="DI86" s="307"/>
      <c r="DJ86" s="307"/>
      <c r="DK86" s="307"/>
      <c r="DP86" s="9"/>
      <c r="DQ86" s="9"/>
      <c r="DR86" s="9"/>
      <c r="DS86" s="9"/>
      <c r="DT86" s="9"/>
      <c r="DU86" s="9"/>
      <c r="EF86" s="307"/>
      <c r="EG86" s="307"/>
      <c r="EH86" s="307"/>
      <c r="EI86" s="307"/>
      <c r="EJ86" s="307"/>
      <c r="EK86" s="307"/>
    </row>
    <row r="87" spans="1:141" ht="18" customHeight="1">
      <c r="A87" s="373">
        <f t="shared" si="0"/>
        <v>2021</v>
      </c>
      <c r="B87" s="65"/>
      <c r="C87" s="359">
        <f>-Tabelle1!AN33</f>
        <v>0</v>
      </c>
      <c r="D87" s="368"/>
      <c r="E87" s="359">
        <f>-Tabelle1!AP33</f>
        <v>0</v>
      </c>
      <c r="F87" s="368"/>
      <c r="G87" s="359">
        <f>-Tabelle1!AO33</f>
        <v>0</v>
      </c>
      <c r="H87" s="368"/>
      <c r="I87" s="359">
        <f>-Tabelle1!AM33</f>
        <v>0</v>
      </c>
      <c r="J87" s="368"/>
      <c r="K87" s="370">
        <f>+((($E$57-Tabelle1!BC20-Tabelle1!BD20)*$M$55/100)+IF($E$55&gt;10000,0,0))*Tabelle1!$B$13</f>
        <v>3288.4612606300002</v>
      </c>
      <c r="L87" s="370"/>
      <c r="M87" s="374">
        <f>Tabelle1!BQ20</f>
        <v>0</v>
      </c>
      <c r="N87" s="370"/>
      <c r="O87" s="363">
        <f>Tabelle1!BF20</f>
        <v>0</v>
      </c>
      <c r="P87" s="362"/>
      <c r="Q87" s="365">
        <f>Q86+K87+M87+O87+E87-$E$37+Tabelle1!AY20</f>
        <v>-23605.693696850001</v>
      </c>
      <c r="S87" s="152" t="s">
        <v>546</v>
      </c>
      <c r="T87" s="151">
        <v>280</v>
      </c>
      <c r="U87" s="150">
        <v>1.63</v>
      </c>
      <c r="Y87" s="74"/>
      <c r="Z87" s="56"/>
      <c r="AA87" s="45"/>
      <c r="AB87" s="55"/>
      <c r="AC87" s="55"/>
      <c r="AD87" s="55"/>
      <c r="AE87" s="55"/>
      <c r="AK87" s="282"/>
      <c r="AL87" s="43"/>
      <c r="AM87" s="43"/>
      <c r="AN87" s="50"/>
      <c r="AO87" s="49"/>
      <c r="AP87" s="282"/>
      <c r="BT87" s="10"/>
      <c r="BU87" s="10"/>
      <c r="BV87" s="10"/>
      <c r="BW87" s="10"/>
      <c r="CV87" s="307"/>
      <c r="CW87" s="307"/>
      <c r="CX87" s="307"/>
      <c r="CY87" s="307"/>
      <c r="CZ87" s="307"/>
      <c r="DA87" s="307"/>
      <c r="DB87" s="307"/>
      <c r="DC87" s="307"/>
      <c r="DD87" s="307"/>
      <c r="DE87" s="307"/>
      <c r="DF87" s="307"/>
      <c r="DG87" s="307"/>
      <c r="DH87" s="307"/>
      <c r="DI87" s="307"/>
      <c r="DJ87" s="307"/>
      <c r="DK87" s="307"/>
      <c r="DP87" s="9"/>
      <c r="DQ87" s="9"/>
      <c r="DR87" s="9"/>
      <c r="DS87" s="9"/>
      <c r="DT87" s="9"/>
      <c r="DU87" s="9"/>
      <c r="EF87" s="307"/>
      <c r="EG87" s="307"/>
      <c r="EH87" s="307"/>
      <c r="EI87" s="307"/>
      <c r="EJ87" s="307"/>
      <c r="EK87" s="307"/>
    </row>
    <row r="88" spans="1:141" ht="18" customHeight="1">
      <c r="A88" s="366">
        <f t="shared" si="0"/>
        <v>2022</v>
      </c>
      <c r="B88" s="65"/>
      <c r="C88" s="367">
        <f>-Tabelle1!AN37</f>
        <v>0</v>
      </c>
      <c r="D88" s="368"/>
      <c r="E88" s="367">
        <f>-Tabelle1!AP37</f>
        <v>0</v>
      </c>
      <c r="F88" s="368"/>
      <c r="G88" s="367">
        <f>-Tabelle1!AO37</f>
        <v>0</v>
      </c>
      <c r="H88" s="368"/>
      <c r="I88" s="367">
        <f>-Tabelle1!AM37</f>
        <v>0</v>
      </c>
      <c r="J88" s="368"/>
      <c r="K88" s="369">
        <f>+((($E$57-Tabelle1!BC21-Tabelle1!BD21)*$M$55/100)+IF($E$55&gt;10000,0,0))*Tabelle1!$B$13</f>
        <v>3288.4612606300002</v>
      </c>
      <c r="L88" s="370"/>
      <c r="M88" s="369">
        <f>Tabelle1!BQ21</f>
        <v>0</v>
      </c>
      <c r="N88" s="370"/>
      <c r="O88" s="371">
        <f>Tabelle1!BF21</f>
        <v>0</v>
      </c>
      <c r="P88" s="362"/>
      <c r="Q88" s="372">
        <f>Q87+K88+M88+O88+E88-$E$37+Tabelle1!AY21</f>
        <v>-21283.232436220002</v>
      </c>
      <c r="S88" s="152" t="s">
        <v>535</v>
      </c>
      <c r="T88" s="151">
        <v>275</v>
      </c>
      <c r="U88" s="150">
        <v>1.64</v>
      </c>
      <c r="Y88" s="74"/>
      <c r="Z88" s="56"/>
      <c r="AA88" s="45"/>
      <c r="AB88" s="55"/>
      <c r="AC88" s="55"/>
      <c r="AD88" s="55"/>
      <c r="AE88" s="55"/>
      <c r="AK88" s="282"/>
      <c r="AL88" s="43"/>
      <c r="AM88" s="43"/>
      <c r="AN88" s="50"/>
      <c r="AO88" s="49"/>
      <c r="AP88" s="282"/>
      <c r="BT88" s="10"/>
      <c r="BU88" s="10"/>
      <c r="BV88" s="10"/>
      <c r="BW88" s="10"/>
      <c r="CV88" s="307"/>
      <c r="CW88" s="307"/>
      <c r="CX88" s="307"/>
      <c r="CY88" s="307"/>
      <c r="CZ88" s="307"/>
      <c r="DA88" s="307"/>
      <c r="DB88" s="307"/>
      <c r="DC88" s="307"/>
      <c r="DD88" s="307"/>
      <c r="DE88" s="307"/>
      <c r="DF88" s="307"/>
      <c r="DG88" s="307"/>
      <c r="DH88" s="307"/>
      <c r="DI88" s="307"/>
      <c r="DJ88" s="307"/>
      <c r="DK88" s="307"/>
      <c r="DP88" s="9"/>
      <c r="DQ88" s="9"/>
      <c r="DR88" s="9"/>
      <c r="DS88" s="9"/>
      <c r="DT88" s="9"/>
      <c r="DU88" s="9"/>
      <c r="EF88" s="307"/>
      <c r="EG88" s="307"/>
      <c r="EH88" s="307"/>
      <c r="EI88" s="307"/>
      <c r="EJ88" s="307"/>
      <c r="EK88" s="307"/>
    </row>
    <row r="89" spans="1:141" ht="18" customHeight="1">
      <c r="A89" s="373">
        <f t="shared" si="0"/>
        <v>2023</v>
      </c>
      <c r="B89" s="65"/>
      <c r="C89" s="359">
        <f>-IF(Tabelle1!$AN$41&gt;1,Tabelle1!AN41,0)</f>
        <v>0</v>
      </c>
      <c r="D89" s="368"/>
      <c r="E89" s="359">
        <f>-IF(Tabelle1!$AN$41&gt;1,Tabelle1!AP41,0)</f>
        <v>0</v>
      </c>
      <c r="F89" s="368"/>
      <c r="G89" s="359">
        <f>-IF(Tabelle1!$AN$41&gt;1,Tabelle1!AO41,0)</f>
        <v>0</v>
      </c>
      <c r="H89" s="368"/>
      <c r="I89" s="359">
        <f>-IF(Tabelle1!$AN$41&gt;1,Tabelle1!AM41,0)</f>
        <v>0</v>
      </c>
      <c r="J89" s="368"/>
      <c r="K89" s="370">
        <f>+((($E$57-Tabelle1!BC22-Tabelle1!BD22)*$M$55/100)+IF($E$55&gt;10000,0,0))*Tabelle1!$B$13</f>
        <v>3288.4612606300002</v>
      </c>
      <c r="L89" s="370"/>
      <c r="M89" s="374">
        <f>Tabelle1!BQ22</f>
        <v>0</v>
      </c>
      <c r="N89" s="370"/>
      <c r="O89" s="363">
        <f>Tabelle1!BF22</f>
        <v>0</v>
      </c>
      <c r="P89" s="362"/>
      <c r="Q89" s="365">
        <f>Q88+K89+M89+O89+E89-$E$37+Tabelle1!AY22</f>
        <v>-18960.771175590002</v>
      </c>
      <c r="S89" s="152" t="s">
        <v>536</v>
      </c>
      <c r="T89" s="151">
        <v>265</v>
      </c>
      <c r="U89" s="150">
        <v>1.64</v>
      </c>
      <c r="V89" s="11"/>
      <c r="Y89" s="74"/>
      <c r="Z89" s="56"/>
      <c r="AA89" s="45"/>
      <c r="AB89" s="55"/>
      <c r="AC89" s="55"/>
      <c r="AD89" s="55"/>
      <c r="AE89" s="55"/>
      <c r="AK89" s="282"/>
      <c r="AL89" s="43"/>
      <c r="AM89" s="43"/>
      <c r="AN89" s="50"/>
      <c r="AO89" s="49"/>
      <c r="AP89" s="282"/>
      <c r="BT89" s="10"/>
      <c r="BU89" s="10"/>
      <c r="BV89" s="10"/>
      <c r="BW89" s="10"/>
      <c r="CV89" s="307"/>
      <c r="CW89" s="307"/>
      <c r="CX89" s="307"/>
      <c r="CY89" s="307"/>
      <c r="CZ89" s="307"/>
      <c r="DA89" s="307"/>
      <c r="DB89" s="307"/>
      <c r="DC89" s="307"/>
      <c r="DD89" s="307"/>
      <c r="DE89" s="307"/>
      <c r="DF89" s="307"/>
      <c r="DG89" s="307"/>
      <c r="DH89" s="307"/>
      <c r="DI89" s="307"/>
      <c r="DJ89" s="307"/>
      <c r="DK89" s="307"/>
      <c r="DP89" s="9"/>
      <c r="DQ89" s="9"/>
      <c r="DR89" s="9"/>
      <c r="DS89" s="9"/>
      <c r="DT89" s="9"/>
      <c r="DU89" s="9"/>
      <c r="EF89" s="307"/>
      <c r="EG89" s="307"/>
      <c r="EH89" s="307"/>
      <c r="EI89" s="307"/>
      <c r="EJ89" s="307"/>
      <c r="EK89" s="307"/>
    </row>
    <row r="90" spans="1:141" s="10" customFormat="1" ht="18" customHeight="1">
      <c r="A90" s="366">
        <f t="shared" si="0"/>
        <v>2024</v>
      </c>
      <c r="B90" s="65"/>
      <c r="C90" s="375">
        <f>-IF(Tabelle1!$AN$41&gt;2,Tabelle1!AN45,0)</f>
        <v>0</v>
      </c>
      <c r="D90" s="368"/>
      <c r="E90" s="375">
        <f>-IF(Tabelle1!$AN$41&gt;2,Tabelle1!AP45,0)</f>
        <v>0</v>
      </c>
      <c r="F90" s="368"/>
      <c r="G90" s="375">
        <f>-IF(Tabelle1!$AN$41&gt;2,Tabelle1!AO45,0)</f>
        <v>0</v>
      </c>
      <c r="H90" s="368"/>
      <c r="I90" s="375">
        <f>-IF(Tabelle1!$AN$41&gt;2,Tabelle1!AM45,0)</f>
        <v>0</v>
      </c>
      <c r="J90" s="368"/>
      <c r="K90" s="369">
        <f>+((($E$57-Tabelle1!BC23-Tabelle1!BD23)*$M$55/100)+IF($E$55&gt;10000,0,0))*Tabelle1!$B$13</f>
        <v>3288.4612606300002</v>
      </c>
      <c r="L90" s="370"/>
      <c r="M90" s="369">
        <f>Tabelle1!BQ23</f>
        <v>0</v>
      </c>
      <c r="N90" s="370"/>
      <c r="O90" s="371">
        <f>Tabelle1!BF23</f>
        <v>0</v>
      </c>
      <c r="P90" s="362"/>
      <c r="Q90" s="372">
        <f>Q89+K90+M90+O90+E90-$E$37+Tabelle1!AY23</f>
        <v>-16638.309914960002</v>
      </c>
      <c r="R90" s="307"/>
      <c r="S90" s="152" t="s">
        <v>537</v>
      </c>
      <c r="T90" s="151">
        <v>260</v>
      </c>
      <c r="U90" s="150">
        <v>1.66</v>
      </c>
      <c r="X90" s="308"/>
      <c r="Y90" s="74"/>
      <c r="Z90" s="56"/>
      <c r="AA90" s="45"/>
      <c r="AB90" s="55"/>
      <c r="AC90" s="55"/>
      <c r="AD90" s="55"/>
      <c r="AE90" s="55"/>
      <c r="AF90" s="308"/>
      <c r="AG90" s="308"/>
      <c r="AH90" s="308"/>
      <c r="AI90" s="308"/>
      <c r="AJ90" s="308"/>
      <c r="AK90" s="282"/>
      <c r="AL90" s="43"/>
      <c r="AM90" s="43"/>
      <c r="AN90" s="50"/>
      <c r="AO90" s="49"/>
      <c r="AP90" s="282"/>
      <c r="AQ90" s="308"/>
      <c r="AR90" s="308"/>
      <c r="AS90" s="308"/>
      <c r="AT90" s="308"/>
      <c r="AU90" s="308"/>
      <c r="AV90" s="308"/>
      <c r="AW90" s="308"/>
      <c r="AX90" s="308"/>
      <c r="AY90" s="308"/>
      <c r="AZ90" s="308"/>
      <c r="BA90" s="308"/>
      <c r="BB90" s="308"/>
      <c r="BC90" s="308"/>
      <c r="BD90" s="308"/>
      <c r="BE90" s="308"/>
      <c r="BF90" s="308"/>
      <c r="BG90" s="308"/>
      <c r="BH90" s="308"/>
      <c r="BI90" s="308"/>
      <c r="BJ90" s="308"/>
      <c r="BK90" s="308"/>
      <c r="BL90" s="308"/>
      <c r="BM90" s="308"/>
      <c r="BN90" s="308"/>
      <c r="BO90" s="308"/>
      <c r="BP90" s="308"/>
      <c r="BQ90" s="308"/>
      <c r="BR90" s="308"/>
      <c r="BS90" s="308"/>
      <c r="DP90" s="110"/>
      <c r="DQ90" s="110"/>
      <c r="DR90" s="110"/>
      <c r="DS90" s="110"/>
      <c r="DT90" s="110"/>
      <c r="DU90" s="110"/>
    </row>
    <row r="91" spans="1:141" ht="18" customHeight="1">
      <c r="A91" s="373">
        <f t="shared" si="0"/>
        <v>2025</v>
      </c>
      <c r="B91" s="65"/>
      <c r="C91" s="359">
        <f>-IF(Tabelle1!$AN$41&gt;3,Tabelle1!AN49,0)</f>
        <v>0</v>
      </c>
      <c r="D91" s="368"/>
      <c r="E91" s="359">
        <f>-IF(Tabelle1!$AN$41&gt;3,Tabelle1!AP49,0)</f>
        <v>0</v>
      </c>
      <c r="F91" s="368"/>
      <c r="G91" s="359">
        <f>-IF(Tabelle1!$AN$41&gt;3,Tabelle1!AO49,0)</f>
        <v>0</v>
      </c>
      <c r="H91" s="368"/>
      <c r="I91" s="359">
        <f>-IF(Tabelle1!$AN$41&gt;3,Tabelle1!AM49,0)</f>
        <v>0</v>
      </c>
      <c r="J91" s="368"/>
      <c r="K91" s="370">
        <f>+((($E$57-Tabelle1!BC24-Tabelle1!BD24)*$M$55/100)+IF($E$55&gt;10000,0,0))*Tabelle1!$B$13</f>
        <v>3288.4612606300002</v>
      </c>
      <c r="L91" s="370"/>
      <c r="M91" s="374">
        <f>Tabelle1!BQ24</f>
        <v>0</v>
      </c>
      <c r="N91" s="370"/>
      <c r="O91" s="363">
        <f>Tabelle1!BF24</f>
        <v>0</v>
      </c>
      <c r="P91" s="362"/>
      <c r="Q91" s="365">
        <f>Q90+K91+M91+O91+E91-$E$37+Tabelle1!AY24</f>
        <v>-14315.848654330002</v>
      </c>
      <c r="R91" s="10"/>
      <c r="S91" s="152" t="s">
        <v>538</v>
      </c>
      <c r="T91" s="151">
        <v>275</v>
      </c>
      <c r="U91" s="150">
        <v>1.66</v>
      </c>
      <c r="Y91" s="74"/>
      <c r="Z91" s="56"/>
      <c r="AA91" s="45"/>
      <c r="AB91" s="55"/>
      <c r="AC91" s="55"/>
      <c r="AD91" s="55"/>
      <c r="AE91" s="55"/>
      <c r="AK91" s="282"/>
      <c r="AL91" s="43"/>
      <c r="AM91" s="43"/>
      <c r="AN91" s="50"/>
      <c r="AO91" s="49"/>
      <c r="AP91" s="282"/>
      <c r="BT91" s="10"/>
      <c r="BU91" s="10"/>
      <c r="BV91" s="10"/>
      <c r="BW91" s="10"/>
      <c r="CV91" s="307"/>
      <c r="CW91" s="307"/>
      <c r="CX91" s="307"/>
      <c r="CY91" s="307"/>
      <c r="CZ91" s="307"/>
      <c r="DA91" s="307"/>
      <c r="DB91" s="307"/>
      <c r="DC91" s="307"/>
      <c r="DD91" s="307"/>
      <c r="DE91" s="307"/>
      <c r="DF91" s="307"/>
      <c r="DG91" s="307"/>
      <c r="DH91" s="307"/>
      <c r="DI91" s="307"/>
      <c r="DJ91" s="307"/>
      <c r="DK91" s="307"/>
      <c r="DP91" s="9"/>
      <c r="DQ91" s="9"/>
      <c r="DR91" s="9"/>
      <c r="DS91" s="9"/>
      <c r="DT91" s="9"/>
      <c r="DU91" s="9"/>
      <c r="EF91" s="307"/>
      <c r="EG91" s="307"/>
      <c r="EH91" s="307"/>
      <c r="EI91" s="307"/>
      <c r="EJ91" s="307"/>
      <c r="EK91" s="307"/>
    </row>
    <row r="92" spans="1:141" ht="18" customHeight="1">
      <c r="A92" s="366">
        <f t="shared" si="0"/>
        <v>2026</v>
      </c>
      <c r="B92" s="65"/>
      <c r="C92" s="375">
        <f>-IF(Tabelle1!$AN$41&gt;4,Tabelle1!AN53,0)</f>
        <v>0</v>
      </c>
      <c r="D92" s="368"/>
      <c r="E92" s="375">
        <f>-IF(Tabelle1!$AN$41&gt;4,Tabelle1!AP53,0)</f>
        <v>0</v>
      </c>
      <c r="F92" s="368"/>
      <c r="G92" s="375">
        <f>-IF(Tabelle1!$AN$41&gt;4,Tabelle1!AO53,0)</f>
        <v>0</v>
      </c>
      <c r="H92" s="368"/>
      <c r="I92" s="375">
        <f>-IF(Tabelle1!$AN$41&gt;4,Tabelle1!AM53,0)</f>
        <v>0</v>
      </c>
      <c r="J92" s="368"/>
      <c r="K92" s="369">
        <f>+((($E$57-Tabelle1!BC25-Tabelle1!BD25)*$M$55/100)+IF($E$55&gt;10000,0,0))*Tabelle1!$B$13</f>
        <v>3288.4612606300002</v>
      </c>
      <c r="L92" s="370"/>
      <c r="M92" s="369">
        <f>Tabelle1!BQ25</f>
        <v>0</v>
      </c>
      <c r="N92" s="370"/>
      <c r="O92" s="371">
        <f>Tabelle1!BF25</f>
        <v>0</v>
      </c>
      <c r="P92" s="362"/>
      <c r="Q92" s="372">
        <f>Q91+K92+M92+O92+E92-$E$37+Tabelle1!AY25</f>
        <v>-11993.387393700003</v>
      </c>
      <c r="R92" s="10"/>
      <c r="S92" s="152" t="s">
        <v>530</v>
      </c>
      <c r="T92" s="151">
        <v>270</v>
      </c>
      <c r="U92" s="150">
        <v>1.63</v>
      </c>
      <c r="Y92" s="74"/>
      <c r="Z92" s="56"/>
      <c r="AA92" s="45"/>
      <c r="AB92" s="55"/>
      <c r="AC92" s="55"/>
      <c r="AD92" s="55"/>
      <c r="AE92" s="55"/>
      <c r="AK92" s="282"/>
      <c r="AL92" s="43"/>
      <c r="AM92" s="43"/>
      <c r="AN92" s="50"/>
      <c r="AO92" s="49"/>
      <c r="AP92" s="282"/>
      <c r="BT92" s="10"/>
      <c r="BU92" s="10"/>
      <c r="BV92" s="10"/>
      <c r="BW92" s="10"/>
      <c r="CV92" s="307"/>
      <c r="CW92" s="307"/>
      <c r="CX92" s="307"/>
      <c r="CY92" s="307"/>
      <c r="CZ92" s="307"/>
      <c r="DA92" s="307"/>
      <c r="DB92" s="307"/>
      <c r="DC92" s="307"/>
      <c r="DD92" s="307"/>
      <c r="DE92" s="307"/>
      <c r="DF92" s="307"/>
      <c r="DG92" s="307"/>
      <c r="DH92" s="307"/>
      <c r="DI92" s="307"/>
      <c r="DJ92" s="307"/>
      <c r="DK92" s="307"/>
      <c r="DP92" s="9"/>
      <c r="DQ92" s="9"/>
      <c r="DR92" s="9"/>
      <c r="DS92" s="9"/>
      <c r="DT92" s="9"/>
      <c r="DU92" s="9"/>
      <c r="EF92" s="307"/>
      <c r="EG92" s="307"/>
      <c r="EH92" s="307"/>
      <c r="EI92" s="307"/>
      <c r="EJ92" s="307"/>
      <c r="EK92" s="307"/>
    </row>
    <row r="93" spans="1:141" ht="18" customHeight="1">
      <c r="A93" s="373">
        <f t="shared" si="0"/>
        <v>2027</v>
      </c>
      <c r="B93" s="65"/>
      <c r="C93" s="359">
        <f>-IF(Tabelle1!$AN$41&gt;5,Tabelle1!AN57,0)</f>
        <v>0</v>
      </c>
      <c r="D93" s="368"/>
      <c r="E93" s="359">
        <f>-IF(Tabelle1!$AN$41&gt;5,Tabelle1!AP57,0)</f>
        <v>0</v>
      </c>
      <c r="F93" s="368"/>
      <c r="G93" s="359">
        <f>-IF(Tabelle1!$AN$41&gt;5,Tabelle1!AO57,0)</f>
        <v>0</v>
      </c>
      <c r="H93" s="368"/>
      <c r="I93" s="359">
        <f>-IF(Tabelle1!$AN$41&gt;5,Tabelle1!AM57,0)</f>
        <v>0</v>
      </c>
      <c r="J93" s="368"/>
      <c r="K93" s="370">
        <f>+((($E$57-Tabelle1!BC26-Tabelle1!BD26)*$M$55/100)+IF($E$55&gt;10000,0,0))*Tabelle1!$B$13</f>
        <v>3288.4612606300002</v>
      </c>
      <c r="L93" s="370"/>
      <c r="M93" s="374">
        <f>Tabelle1!BQ26</f>
        <v>0</v>
      </c>
      <c r="N93" s="370"/>
      <c r="O93" s="363">
        <f>Tabelle1!BF26</f>
        <v>0</v>
      </c>
      <c r="P93" s="362"/>
      <c r="Q93" s="365">
        <f>Q92+K93+M93+O93+E93-$E$37+Tabelle1!AY26</f>
        <v>-9670.9261330700028</v>
      </c>
      <c r="S93" s="152" t="s">
        <v>531</v>
      </c>
      <c r="T93" s="151">
        <v>275</v>
      </c>
      <c r="U93" s="150">
        <v>1.63</v>
      </c>
      <c r="Y93" s="74"/>
      <c r="Z93" s="56"/>
      <c r="AA93" s="45"/>
      <c r="AB93" s="55"/>
      <c r="AC93" s="55"/>
      <c r="AD93" s="55"/>
      <c r="AE93" s="55"/>
      <c r="AK93" s="282"/>
      <c r="AL93" s="43"/>
      <c r="AM93" s="43"/>
      <c r="AN93" s="50"/>
      <c r="AO93" s="49"/>
      <c r="AP93" s="282"/>
      <c r="BT93" s="10"/>
      <c r="BU93" s="10"/>
      <c r="BV93" s="10"/>
      <c r="BW93" s="10"/>
      <c r="CV93" s="307"/>
      <c r="CW93" s="307"/>
      <c r="CX93" s="307"/>
      <c r="CY93" s="307"/>
      <c r="CZ93" s="307"/>
      <c r="DA93" s="307"/>
      <c r="DB93" s="307"/>
      <c r="DC93" s="307"/>
      <c r="DD93" s="307"/>
      <c r="DE93" s="307"/>
      <c r="DF93" s="307"/>
      <c r="DG93" s="307"/>
      <c r="DH93" s="307"/>
      <c r="DI93" s="307"/>
      <c r="DJ93" s="307"/>
      <c r="DK93" s="307"/>
      <c r="DP93" s="9"/>
      <c r="DQ93" s="9"/>
      <c r="DR93" s="9"/>
      <c r="DS93" s="9"/>
      <c r="DT93" s="9"/>
      <c r="DU93" s="9"/>
      <c r="EF93" s="307"/>
      <c r="EG93" s="307"/>
      <c r="EH93" s="307"/>
      <c r="EI93" s="307"/>
      <c r="EJ93" s="307"/>
      <c r="EK93" s="307"/>
    </row>
    <row r="94" spans="1:141" s="10" customFormat="1" ht="18" customHeight="1">
      <c r="A94" s="366">
        <f t="shared" si="0"/>
        <v>2028</v>
      </c>
      <c r="B94" s="65"/>
      <c r="C94" s="375">
        <f>-IF(Tabelle1!$AN$41&gt;6,Tabelle1!AN61,0)</f>
        <v>0</v>
      </c>
      <c r="D94" s="368"/>
      <c r="E94" s="375">
        <f>-IF(Tabelle1!$AN$41&gt;6,Tabelle1!AP61,0)</f>
        <v>0</v>
      </c>
      <c r="F94" s="368"/>
      <c r="G94" s="375">
        <f>-IF(Tabelle1!$AN$41&gt;6,Tabelle1!AO61,0)</f>
        <v>0</v>
      </c>
      <c r="H94" s="368"/>
      <c r="I94" s="375">
        <f>-IF(Tabelle1!$AN$41&gt;6,Tabelle1!AM61,0)</f>
        <v>0</v>
      </c>
      <c r="J94" s="368"/>
      <c r="K94" s="369">
        <f>+((($E$57-Tabelle1!BC27-Tabelle1!BD27)*$M$55/100)+IF($E$55&gt;10000,0,0))*Tabelle1!$B$13</f>
        <v>3288.4612606300002</v>
      </c>
      <c r="L94" s="370"/>
      <c r="M94" s="369">
        <f>Tabelle1!BQ27</f>
        <v>0</v>
      </c>
      <c r="N94" s="370"/>
      <c r="O94" s="371">
        <f>Tabelle1!BF27</f>
        <v>0</v>
      </c>
      <c r="P94" s="362"/>
      <c r="Q94" s="372">
        <f>Q93+K94+M94+O94+E94-$E$37+Tabelle1!AY27</f>
        <v>-7348.4648724400031</v>
      </c>
      <c r="S94" s="152" t="s">
        <v>532</v>
      </c>
      <c r="T94" s="151">
        <v>255</v>
      </c>
      <c r="U94" s="150">
        <v>1.63</v>
      </c>
      <c r="W94" s="308"/>
      <c r="X94" s="308"/>
      <c r="Y94" s="74"/>
      <c r="Z94" s="56"/>
      <c r="AA94" s="45"/>
      <c r="AB94" s="55"/>
      <c r="AC94" s="55"/>
      <c r="AD94" s="55"/>
      <c r="AE94" s="55"/>
      <c r="AF94" s="308"/>
      <c r="AG94" s="308"/>
      <c r="AH94" s="308"/>
      <c r="AI94" s="308"/>
      <c r="AJ94" s="308"/>
      <c r="AO94" s="111"/>
      <c r="AP94" s="282"/>
      <c r="AQ94" s="308"/>
      <c r="AR94" s="308"/>
      <c r="AS94" s="308"/>
      <c r="AT94" s="308"/>
      <c r="AU94" s="308"/>
      <c r="AV94" s="308"/>
      <c r="AW94" s="308"/>
      <c r="AX94" s="308"/>
      <c r="AY94" s="308"/>
      <c r="AZ94" s="308"/>
      <c r="BA94" s="308"/>
      <c r="BB94" s="308"/>
      <c r="BC94" s="308"/>
      <c r="BD94" s="308"/>
      <c r="BE94" s="308"/>
      <c r="BF94" s="308"/>
      <c r="BG94" s="308"/>
      <c r="BH94" s="308"/>
      <c r="BI94" s="308"/>
      <c r="BJ94" s="308"/>
      <c r="BK94" s="308"/>
      <c r="BL94" s="308"/>
      <c r="BM94" s="308"/>
      <c r="BN94" s="308"/>
      <c r="BO94" s="308"/>
      <c r="BP94" s="308"/>
      <c r="BQ94" s="308"/>
      <c r="BR94" s="308"/>
      <c r="BS94" s="308"/>
      <c r="DP94" s="110"/>
      <c r="DQ94" s="110"/>
      <c r="DR94" s="110"/>
      <c r="DS94" s="110"/>
      <c r="DT94" s="110"/>
      <c r="DU94" s="110"/>
    </row>
    <row r="95" spans="1:141" ht="18" customHeight="1">
      <c r="A95" s="373">
        <f t="shared" si="0"/>
        <v>2029</v>
      </c>
      <c r="B95" s="65"/>
      <c r="C95" s="359">
        <f>-IF(Tabelle1!$AN$41&gt;7,Tabelle1!AN65,0)</f>
        <v>0</v>
      </c>
      <c r="D95" s="368"/>
      <c r="E95" s="359">
        <f>-IF(Tabelle1!$AN$41&gt;7,Tabelle1!AP65,0)</f>
        <v>0</v>
      </c>
      <c r="F95" s="368"/>
      <c r="G95" s="359">
        <f>-IF(Tabelle1!$AN$41&gt;7,Tabelle1!AO65,0)</f>
        <v>0</v>
      </c>
      <c r="H95" s="368"/>
      <c r="I95" s="359">
        <f>-IF(Tabelle1!$AN$41&gt;7,Tabelle1!AM65,0)</f>
        <v>0</v>
      </c>
      <c r="J95" s="368"/>
      <c r="K95" s="370">
        <f>+((($E$57-Tabelle1!BC28-Tabelle1!BD28)*$M$55/100)+IF($E$55&gt;10000,0,0))*Tabelle1!$B$13</f>
        <v>3288.4612606300002</v>
      </c>
      <c r="L95" s="370"/>
      <c r="M95" s="374">
        <f>Tabelle1!BQ28</f>
        <v>0</v>
      </c>
      <c r="N95" s="370"/>
      <c r="O95" s="363">
        <f>Tabelle1!BF28</f>
        <v>0</v>
      </c>
      <c r="P95" s="362"/>
      <c r="Q95" s="365">
        <f>Q94+K95+M95+O95+E95-$E$37+Tabelle1!AY28</f>
        <v>-5026.0036118100033</v>
      </c>
      <c r="S95" s="152" t="s">
        <v>533</v>
      </c>
      <c r="T95" s="151">
        <v>260</v>
      </c>
      <c r="U95" s="150">
        <v>1.63</v>
      </c>
      <c r="Y95" s="74"/>
      <c r="Z95" s="56"/>
      <c r="AA95" s="45"/>
      <c r="AB95" s="55"/>
      <c r="AC95" s="55"/>
      <c r="AD95" s="55"/>
      <c r="AE95" s="55"/>
      <c r="AK95" s="282"/>
      <c r="AL95" s="43"/>
      <c r="AM95" s="43"/>
      <c r="AN95" s="50"/>
      <c r="AO95" s="49"/>
      <c r="AP95" s="282"/>
      <c r="BT95" s="10"/>
      <c r="BU95" s="10"/>
      <c r="BV95" s="10"/>
      <c r="BW95" s="10"/>
      <c r="CV95" s="307"/>
      <c r="CW95" s="307"/>
      <c r="CX95" s="307"/>
      <c r="CY95" s="307"/>
      <c r="CZ95" s="307"/>
      <c r="DA95" s="307"/>
      <c r="DB95" s="307"/>
      <c r="DC95" s="307"/>
      <c r="DD95" s="307"/>
      <c r="DE95" s="307"/>
      <c r="DF95" s="307"/>
      <c r="DG95" s="307"/>
      <c r="DH95" s="307"/>
      <c r="DI95" s="307"/>
      <c r="DJ95" s="307"/>
      <c r="DK95" s="307"/>
      <c r="DP95" s="9"/>
      <c r="DQ95" s="9"/>
      <c r="DR95" s="9"/>
      <c r="DS95" s="9"/>
      <c r="DT95" s="9"/>
      <c r="DU95" s="9"/>
      <c r="EF95" s="307"/>
      <c r="EG95" s="307"/>
      <c r="EH95" s="307"/>
      <c r="EI95" s="307"/>
      <c r="EJ95" s="307"/>
      <c r="EK95" s="307"/>
    </row>
    <row r="96" spans="1:141" ht="18" customHeight="1">
      <c r="A96" s="366">
        <f t="shared" si="0"/>
        <v>2030</v>
      </c>
      <c r="B96" s="65"/>
      <c r="C96" s="375">
        <f>-IF(Tabelle1!$AN$41&gt;8,Tabelle1!AN69,0)</f>
        <v>0</v>
      </c>
      <c r="D96" s="368"/>
      <c r="E96" s="375">
        <f>-IF(Tabelle1!$AN$41&gt;8,Tabelle1!AP69,0)</f>
        <v>0</v>
      </c>
      <c r="F96" s="368"/>
      <c r="G96" s="375">
        <f>-IF(Tabelle1!$AN$41&gt;8,Tabelle1!AO69,0)</f>
        <v>0</v>
      </c>
      <c r="H96" s="368"/>
      <c r="I96" s="375">
        <f>-IF(Tabelle1!$AN$41&gt;8,Tabelle1!AM69,0)</f>
        <v>0</v>
      </c>
      <c r="J96" s="368"/>
      <c r="K96" s="369">
        <f>+((($E$57-Tabelle1!BC29-Tabelle1!BD29)*$M$55/100)+IF($E$55&gt;10000,0,0))*Tabelle1!$B$13</f>
        <v>3288.4612606300002</v>
      </c>
      <c r="L96" s="370"/>
      <c r="M96" s="369">
        <f>Tabelle1!BQ29</f>
        <v>0</v>
      </c>
      <c r="N96" s="370"/>
      <c r="O96" s="371">
        <f>Tabelle1!BF29</f>
        <v>0</v>
      </c>
      <c r="P96" s="362"/>
      <c r="Q96" s="372">
        <f>Q95+K96+M96+O96+E96-$E$37+Tabelle1!AY29</f>
        <v>-2703.5423511800032</v>
      </c>
      <c r="S96" s="152" t="s">
        <v>534</v>
      </c>
      <c r="T96" s="151">
        <v>265</v>
      </c>
      <c r="U96" s="150">
        <v>1.63</v>
      </c>
      <c r="W96" s="74"/>
      <c r="X96" s="56"/>
      <c r="Y96" s="45"/>
      <c r="Z96" s="55"/>
      <c r="AA96" s="55"/>
      <c r="AB96" s="55"/>
      <c r="AC96" s="55"/>
      <c r="AM96" s="286"/>
      <c r="BT96" s="10"/>
      <c r="BU96" s="10"/>
      <c r="BV96" s="10"/>
      <c r="BW96" s="10"/>
      <c r="CT96" s="307"/>
      <c r="CU96" s="307"/>
      <c r="CV96" s="307"/>
      <c r="CW96" s="307"/>
      <c r="CX96" s="307"/>
      <c r="CY96" s="307"/>
      <c r="CZ96" s="307"/>
      <c r="DA96" s="307"/>
      <c r="DB96" s="307"/>
      <c r="DC96" s="307"/>
      <c r="DD96" s="307"/>
      <c r="DE96" s="307"/>
      <c r="DF96" s="307"/>
      <c r="DG96" s="307"/>
      <c r="DH96" s="307"/>
      <c r="DI96" s="307"/>
      <c r="DJ96" s="307"/>
      <c r="DK96" s="307"/>
      <c r="DN96" s="9"/>
      <c r="DO96" s="9"/>
      <c r="DP96" s="9"/>
      <c r="DQ96" s="9"/>
      <c r="DR96" s="9"/>
      <c r="DS96" s="9"/>
      <c r="EF96" s="307"/>
      <c r="EG96" s="307"/>
      <c r="EH96" s="307"/>
      <c r="EI96" s="307"/>
      <c r="EJ96" s="307"/>
      <c r="EK96" s="307"/>
    </row>
    <row r="97" spans="1:141" ht="18" customHeight="1">
      <c r="A97" s="373">
        <f t="shared" si="0"/>
        <v>2031</v>
      </c>
      <c r="B97" s="65"/>
      <c r="C97" s="359">
        <f>-IF(Tabelle1!$AN$41&gt;9,Tabelle1!AN73,0)</f>
        <v>0</v>
      </c>
      <c r="D97" s="368"/>
      <c r="E97" s="359">
        <f>-IF(Tabelle1!$AN$41&gt;9,Tabelle1!AP73,0)</f>
        <v>0</v>
      </c>
      <c r="F97" s="368"/>
      <c r="G97" s="359">
        <f>-IF(Tabelle1!$AN$41&gt;9,Tabelle1!AO73,0)</f>
        <v>0</v>
      </c>
      <c r="H97" s="368"/>
      <c r="I97" s="359">
        <f>-IF(Tabelle1!$AN$41&gt;9,Tabelle1!AM73,0)</f>
        <v>0</v>
      </c>
      <c r="J97" s="368"/>
      <c r="K97" s="370">
        <f>+((($E$57-Tabelle1!BC30-Tabelle1!BD30)*$M$55/100)+IF($E$55&gt;10000,0,0))*Tabelle1!$B$13</f>
        <v>3288.4612606300002</v>
      </c>
      <c r="L97" s="370"/>
      <c r="M97" s="374">
        <f>Tabelle1!BQ30</f>
        <v>0</v>
      </c>
      <c r="N97" s="370"/>
      <c r="O97" s="363">
        <f>Tabelle1!BF30</f>
        <v>0</v>
      </c>
      <c r="P97" s="362"/>
      <c r="Q97" s="365">
        <f>Q96+K97+M97+O97+E97-$E$37+Tabelle1!AY30</f>
        <v>-381.08109055000295</v>
      </c>
      <c r="S97" s="152" t="s">
        <v>539</v>
      </c>
      <c r="T97" s="151">
        <v>280</v>
      </c>
      <c r="U97" s="150">
        <v>1.64</v>
      </c>
      <c r="W97" s="74"/>
      <c r="X97" s="56"/>
      <c r="Y97" s="45"/>
      <c r="Z97" s="55"/>
      <c r="AA97" s="55"/>
      <c r="AB97" s="55"/>
      <c r="AC97" s="55"/>
      <c r="AI97" s="282"/>
      <c r="AJ97" s="43"/>
      <c r="AK97" s="43"/>
      <c r="AL97" s="50"/>
      <c r="AM97" s="49"/>
      <c r="AN97" s="47"/>
      <c r="AO97" s="47"/>
      <c r="BT97" s="10"/>
      <c r="BU97" s="10"/>
      <c r="BV97" s="10"/>
      <c r="BW97" s="10"/>
      <c r="CT97" s="307"/>
      <c r="CU97" s="307"/>
      <c r="CV97" s="307"/>
      <c r="CW97" s="307"/>
      <c r="CX97" s="307"/>
      <c r="CY97" s="307"/>
      <c r="CZ97" s="307"/>
      <c r="DA97" s="307"/>
      <c r="DB97" s="307"/>
      <c r="DC97" s="307"/>
      <c r="DD97" s="307"/>
      <c r="DE97" s="307"/>
      <c r="DF97" s="307"/>
      <c r="DG97" s="307"/>
      <c r="DH97" s="307"/>
      <c r="DI97" s="307"/>
      <c r="DJ97" s="307"/>
      <c r="DK97" s="307"/>
      <c r="DN97" s="9"/>
      <c r="DO97" s="9"/>
      <c r="DP97" s="9"/>
      <c r="DQ97" s="9"/>
      <c r="DR97" s="9"/>
      <c r="DS97" s="9"/>
      <c r="EF97" s="307"/>
      <c r="EG97" s="307"/>
      <c r="EH97" s="307"/>
      <c r="EI97" s="307"/>
      <c r="EJ97" s="307"/>
      <c r="EK97" s="307"/>
    </row>
    <row r="98" spans="1:141" s="10" customFormat="1" ht="18" customHeight="1">
      <c r="A98" s="366">
        <f t="shared" si="0"/>
        <v>2032</v>
      </c>
      <c r="B98" s="65"/>
      <c r="C98" s="375">
        <f>-IF(Tabelle1!$AN$41&gt;10,Tabelle1!AN77,0)</f>
        <v>0</v>
      </c>
      <c r="D98" s="368"/>
      <c r="E98" s="375">
        <f>-IF(Tabelle1!$AN$41&gt;10,Tabelle1!AP77,0)</f>
        <v>0</v>
      </c>
      <c r="F98" s="368"/>
      <c r="G98" s="375">
        <f>-IF(Tabelle1!$AN$41&gt;10,Tabelle1!AO77,0)</f>
        <v>0</v>
      </c>
      <c r="H98" s="368"/>
      <c r="I98" s="375">
        <f>-IF(Tabelle1!$AN$41&gt;10,Tabelle1!AM77,0)</f>
        <v>0</v>
      </c>
      <c r="J98" s="368"/>
      <c r="K98" s="369">
        <f>+((($E$57-Tabelle1!BC31-Tabelle1!BD31)*$M$55/100)+IF($E$55&gt;10000,0,0))*Tabelle1!$B$13</f>
        <v>3288.4612606300002</v>
      </c>
      <c r="L98" s="370"/>
      <c r="M98" s="369">
        <f>Tabelle1!BQ31</f>
        <v>0</v>
      </c>
      <c r="N98" s="370"/>
      <c r="O98" s="371">
        <f>Tabelle1!BF31</f>
        <v>0</v>
      </c>
      <c r="P98" s="362"/>
      <c r="Q98" s="372">
        <f>Q97+K98+M98+O98+E98-$E$37+Tabelle1!AY31</f>
        <v>1941.3801700799972</v>
      </c>
      <c r="R98" s="307"/>
      <c r="S98" s="152" t="s">
        <v>540</v>
      </c>
      <c r="T98" s="151">
        <v>285</v>
      </c>
      <c r="U98" s="150">
        <v>1.64</v>
      </c>
      <c r="V98" s="308"/>
      <c r="W98" s="74"/>
      <c r="X98" s="56"/>
      <c r="Y98" s="45"/>
      <c r="Z98" s="55"/>
      <c r="AA98" s="55"/>
      <c r="AB98" s="55"/>
      <c r="AC98" s="55"/>
      <c r="AD98" s="308"/>
      <c r="AE98" s="308"/>
      <c r="AF98" s="308"/>
      <c r="AG98" s="308"/>
      <c r="AH98" s="308"/>
      <c r="AM98" s="111"/>
      <c r="AP98" s="308"/>
      <c r="AQ98" s="308"/>
      <c r="AR98" s="308"/>
      <c r="AS98" s="308"/>
      <c r="AT98" s="308"/>
      <c r="AU98" s="308"/>
      <c r="AV98" s="308"/>
      <c r="AW98" s="308"/>
      <c r="AX98" s="308"/>
      <c r="AY98" s="308"/>
      <c r="AZ98" s="308"/>
      <c r="BA98" s="308"/>
      <c r="BB98" s="308"/>
      <c r="BC98" s="308"/>
      <c r="BD98" s="308"/>
      <c r="BE98" s="308"/>
      <c r="BF98" s="308"/>
      <c r="BG98" s="308"/>
      <c r="BH98" s="308"/>
      <c r="BI98" s="308"/>
      <c r="BJ98" s="308"/>
      <c r="BK98" s="308"/>
      <c r="BL98" s="308"/>
      <c r="BM98" s="308"/>
      <c r="BN98" s="308"/>
      <c r="BO98" s="308"/>
      <c r="BP98" s="308"/>
      <c r="BQ98" s="308"/>
      <c r="BR98" s="308"/>
      <c r="BS98" s="308"/>
      <c r="CT98" s="307"/>
      <c r="CU98" s="307"/>
      <c r="CV98" s="307"/>
      <c r="DN98" s="110"/>
      <c r="DO98" s="110"/>
      <c r="DP98" s="110"/>
      <c r="DQ98" s="110"/>
      <c r="DR98" s="110"/>
      <c r="DS98" s="110"/>
    </row>
    <row r="99" spans="1:141" ht="18" customHeight="1">
      <c r="A99" s="373">
        <f t="shared" si="0"/>
        <v>2033</v>
      </c>
      <c r="B99" s="65"/>
      <c r="C99" s="359">
        <f>-IF(Tabelle1!$AN$41&gt;11,Tabelle1!AN81,0)</f>
        <v>0</v>
      </c>
      <c r="D99" s="368"/>
      <c r="E99" s="359">
        <f>-IF(Tabelle1!$AN$41&gt;11,Tabelle1!AP81,0)</f>
        <v>0</v>
      </c>
      <c r="F99" s="368"/>
      <c r="G99" s="359">
        <f>-IF(Tabelle1!$AN$41&gt;11,Tabelle1!AO81,0)</f>
        <v>0</v>
      </c>
      <c r="H99" s="368"/>
      <c r="I99" s="359">
        <f>-IF(Tabelle1!$AN$41&gt;11,Tabelle1!AM81,0)</f>
        <v>0</v>
      </c>
      <c r="J99" s="368"/>
      <c r="K99" s="370">
        <f>+((($E$57-Tabelle1!BC32-Tabelle1!BD32)*$M$55/100)+IF($E$55&gt;10000,0,0))*Tabelle1!$B$13</f>
        <v>3288.4612606300002</v>
      </c>
      <c r="L99" s="370"/>
      <c r="M99" s="374">
        <f>Tabelle1!BQ32</f>
        <v>0</v>
      </c>
      <c r="N99" s="370"/>
      <c r="O99" s="363">
        <f>Tabelle1!BF32</f>
        <v>0</v>
      </c>
      <c r="P99" s="362"/>
      <c r="Q99" s="365">
        <f>Q98+K99+M99+O99+E99-$E$37+Tabelle1!AY32</f>
        <v>4263.8414307099974</v>
      </c>
      <c r="S99" s="152" t="s">
        <v>541</v>
      </c>
      <c r="T99" s="151">
        <v>300</v>
      </c>
      <c r="U99" s="150">
        <v>1.64</v>
      </c>
      <c r="W99" s="74"/>
      <c r="X99" s="56"/>
      <c r="Y99" s="45"/>
      <c r="Z99" s="55"/>
      <c r="AA99" s="55"/>
      <c r="AB99" s="55"/>
      <c r="AC99" s="55"/>
      <c r="AI99" s="282"/>
      <c r="AJ99" s="43"/>
      <c r="AK99" s="43"/>
      <c r="AL99" s="50"/>
      <c r="AM99" s="49"/>
      <c r="AN99" s="47"/>
      <c r="AO99" s="282"/>
      <c r="BT99" s="10"/>
      <c r="BU99" s="10"/>
      <c r="BV99" s="10"/>
      <c r="BW99" s="10"/>
      <c r="CT99" s="307"/>
      <c r="CU99" s="307"/>
      <c r="CV99" s="307"/>
      <c r="CW99" s="307"/>
      <c r="CX99" s="307"/>
      <c r="CY99" s="307"/>
      <c r="CZ99" s="307"/>
      <c r="DA99" s="307"/>
      <c r="DB99" s="307"/>
      <c r="DC99" s="307"/>
      <c r="DD99" s="307"/>
      <c r="DE99" s="307"/>
      <c r="DF99" s="307"/>
      <c r="DG99" s="307"/>
      <c r="DH99" s="307"/>
      <c r="DI99" s="307"/>
      <c r="DJ99" s="307"/>
      <c r="DK99" s="307"/>
      <c r="DN99" s="9"/>
      <c r="DO99" s="9"/>
      <c r="DP99" s="9"/>
      <c r="DQ99" s="9"/>
      <c r="DR99" s="9"/>
      <c r="DS99" s="9"/>
      <c r="EF99" s="307"/>
      <c r="EG99" s="307"/>
      <c r="EH99" s="307"/>
      <c r="EI99" s="307"/>
      <c r="EJ99" s="307"/>
      <c r="EK99" s="307"/>
    </row>
    <row r="100" spans="1:141" ht="18" customHeight="1">
      <c r="A100" s="366">
        <f t="shared" si="0"/>
        <v>2034</v>
      </c>
      <c r="B100" s="65"/>
      <c r="C100" s="375">
        <f>-IF(Tabelle1!$AN$41&gt;12,Tabelle1!AN85,0)</f>
        <v>0</v>
      </c>
      <c r="D100" s="368"/>
      <c r="E100" s="375">
        <f>-IF(Tabelle1!$AN$41&gt;12,Tabelle1!AP85,0)</f>
        <v>0</v>
      </c>
      <c r="F100" s="368"/>
      <c r="G100" s="375">
        <f>-IF(Tabelle1!$AN$41&gt;12,Tabelle1!AO85,0)</f>
        <v>0</v>
      </c>
      <c r="H100" s="368"/>
      <c r="I100" s="375">
        <f>-IF(Tabelle1!$AN$41&gt;12,Tabelle1!AM85,0)</f>
        <v>0</v>
      </c>
      <c r="J100" s="368"/>
      <c r="K100" s="369">
        <f>+((($E$57-Tabelle1!BC33-Tabelle1!BD33)*$M$55/100)+IF($E$55&gt;10000,0,0))*Tabelle1!$B$13</f>
        <v>3288.4612606300002</v>
      </c>
      <c r="L100" s="370"/>
      <c r="M100" s="369">
        <f>Tabelle1!BQ33</f>
        <v>0</v>
      </c>
      <c r="N100" s="370"/>
      <c r="O100" s="371">
        <f>Tabelle1!BF33</f>
        <v>0</v>
      </c>
      <c r="P100" s="362"/>
      <c r="Q100" s="372">
        <f>Q99+K100+M100+O100+E100-$E$37+Tabelle1!AY33</f>
        <v>6586.3026913399972</v>
      </c>
      <c r="S100" s="152" t="s">
        <v>542</v>
      </c>
      <c r="T100" s="151">
        <v>315</v>
      </c>
      <c r="U100" s="150">
        <v>1.64</v>
      </c>
      <c r="W100" s="74"/>
      <c r="X100" s="56"/>
      <c r="Y100" s="45"/>
      <c r="Z100" s="55"/>
      <c r="AA100" s="55"/>
      <c r="AB100" s="55"/>
      <c r="AC100" s="55"/>
      <c r="AI100" s="282"/>
      <c r="AJ100" s="43"/>
      <c r="AK100" s="43"/>
      <c r="AL100" s="50"/>
      <c r="AM100" s="49"/>
      <c r="AN100" s="47"/>
      <c r="AO100" s="282"/>
      <c r="BT100" s="10"/>
      <c r="BU100" s="10"/>
      <c r="BV100" s="10"/>
      <c r="BW100" s="10"/>
      <c r="CT100" s="307"/>
      <c r="CU100" s="307"/>
      <c r="CV100" s="307"/>
      <c r="CW100" s="307"/>
      <c r="CX100" s="307"/>
      <c r="CY100" s="307"/>
      <c r="CZ100" s="307"/>
      <c r="DA100" s="307"/>
      <c r="DB100" s="307"/>
      <c r="DC100" s="307"/>
      <c r="DD100" s="307"/>
      <c r="DE100" s="307"/>
      <c r="DF100" s="307"/>
      <c r="DG100" s="307"/>
      <c r="DH100" s="307"/>
      <c r="DI100" s="307"/>
      <c r="DJ100" s="307"/>
      <c r="DK100" s="307"/>
      <c r="DN100" s="9"/>
      <c r="DO100" s="9"/>
      <c r="DP100" s="9"/>
      <c r="DQ100" s="9"/>
      <c r="DR100" s="9"/>
      <c r="DS100" s="9"/>
      <c r="EF100" s="307"/>
      <c r="EG100" s="307"/>
      <c r="EH100" s="307"/>
      <c r="EI100" s="307"/>
      <c r="EJ100" s="307"/>
      <c r="EK100" s="307"/>
    </row>
    <row r="101" spans="1:141" ht="18" customHeight="1">
      <c r="A101" s="373">
        <f t="shared" si="0"/>
        <v>2035</v>
      </c>
      <c r="B101" s="65"/>
      <c r="C101" s="359">
        <f>-IF(Tabelle1!$AN$41&gt;13,Tabelle1!AN89,0)</f>
        <v>0</v>
      </c>
      <c r="D101" s="368"/>
      <c r="E101" s="359">
        <f>-IF(Tabelle1!$AN$41&gt;13,Tabelle1!AP89,0)</f>
        <v>0</v>
      </c>
      <c r="F101" s="368"/>
      <c r="G101" s="359">
        <f>-IF(Tabelle1!$AN$41&gt;13,Tabelle1!AO89,0)</f>
        <v>0</v>
      </c>
      <c r="H101" s="368"/>
      <c r="I101" s="359">
        <f>-IF(Tabelle1!$AN$41&gt;13,Tabelle1!AM89,0)</f>
        <v>0</v>
      </c>
      <c r="J101" s="368"/>
      <c r="K101" s="370">
        <f>+((($E$57-Tabelle1!BC34-Tabelle1!BD34)*$M$55/100)+IF($E$55&gt;10000,0,0))*Tabelle1!$B$13</f>
        <v>3288.4612606300002</v>
      </c>
      <c r="L101" s="370"/>
      <c r="M101" s="374">
        <f>Tabelle1!BQ34</f>
        <v>0</v>
      </c>
      <c r="N101" s="370"/>
      <c r="O101" s="363">
        <f>Tabelle1!BF34</f>
        <v>0</v>
      </c>
      <c r="P101" s="362"/>
      <c r="Q101" s="365">
        <f>Q100+K101+M101+O101+E101-$E$37+Tabelle1!AY34</f>
        <v>8908.7639519699969</v>
      </c>
      <c r="S101" s="152" t="s">
        <v>543</v>
      </c>
      <c r="T101" s="151">
        <v>320</v>
      </c>
      <c r="U101" s="150">
        <v>1.64</v>
      </c>
      <c r="W101" s="74"/>
      <c r="X101" s="56"/>
      <c r="Y101" s="45"/>
      <c r="Z101" s="55"/>
      <c r="AA101" s="55"/>
      <c r="AB101" s="55"/>
      <c r="AC101" s="55"/>
      <c r="AI101" s="282"/>
      <c r="AJ101" s="43"/>
      <c r="AK101" s="43"/>
      <c r="AL101" s="50"/>
      <c r="AM101" s="49"/>
      <c r="AN101" s="47"/>
      <c r="AO101" s="43"/>
      <c r="BT101" s="10"/>
      <c r="BU101" s="10"/>
      <c r="BV101" s="10"/>
      <c r="BW101" s="10"/>
      <c r="CT101" s="307"/>
      <c r="CU101" s="307"/>
      <c r="CV101" s="307"/>
      <c r="CW101" s="307"/>
      <c r="CX101" s="307"/>
      <c r="CY101" s="307"/>
      <c r="CZ101" s="307"/>
      <c r="DA101" s="307"/>
      <c r="DB101" s="307"/>
      <c r="DC101" s="307"/>
      <c r="DD101" s="307"/>
      <c r="DE101" s="307"/>
      <c r="DF101" s="307"/>
      <c r="DG101" s="307"/>
      <c r="DH101" s="307"/>
      <c r="DI101" s="307"/>
      <c r="DJ101" s="307"/>
      <c r="DK101" s="307"/>
      <c r="DN101" s="9"/>
      <c r="DO101" s="9"/>
      <c r="DP101" s="9"/>
      <c r="DQ101" s="9"/>
      <c r="DR101" s="9"/>
      <c r="DS101" s="9"/>
      <c r="EF101" s="307"/>
      <c r="EG101" s="307"/>
      <c r="EH101" s="307"/>
      <c r="EI101" s="307"/>
      <c r="EJ101" s="307"/>
      <c r="EK101" s="307"/>
    </row>
    <row r="102" spans="1:141" ht="18" customHeight="1">
      <c r="A102" s="366">
        <f t="shared" si="0"/>
        <v>2036</v>
      </c>
      <c r="B102" s="65"/>
      <c r="C102" s="375">
        <f>-IF(Tabelle1!$AN$41&gt;14,Tabelle1!AN93,0)</f>
        <v>0</v>
      </c>
      <c r="D102" s="368"/>
      <c r="E102" s="375">
        <f>-IF(Tabelle1!$AN$41&gt;14,Tabelle1!AP93,0)</f>
        <v>0</v>
      </c>
      <c r="F102" s="368"/>
      <c r="G102" s="375">
        <f>-IF(Tabelle1!$AN$41&gt;14,Tabelle1!AO93,0)</f>
        <v>0</v>
      </c>
      <c r="H102" s="368"/>
      <c r="I102" s="375">
        <f>-IF(Tabelle1!$AN$41&gt;14,Tabelle1!AM93,0)</f>
        <v>0</v>
      </c>
      <c r="J102" s="368"/>
      <c r="K102" s="369">
        <f>+((($E$57-Tabelle1!BC35-Tabelle1!BD35)*$M$55/100)+IF($E$55&gt;10000,0,0))*Tabelle1!$B$13</f>
        <v>3288.4612606300002</v>
      </c>
      <c r="L102" s="370"/>
      <c r="M102" s="369">
        <f>Tabelle1!BQ35</f>
        <v>0</v>
      </c>
      <c r="N102" s="370"/>
      <c r="O102" s="371">
        <f>Tabelle1!BF35</f>
        <v>0</v>
      </c>
      <c r="P102" s="362"/>
      <c r="Q102" s="372">
        <f>Q101+K102+M102+O102+E102-$E$37+Tabelle1!AY35</f>
        <v>11231.225212599997</v>
      </c>
      <c r="S102" s="152" t="s">
        <v>566</v>
      </c>
      <c r="T102" s="151">
        <v>240</v>
      </c>
      <c r="U102" s="150">
        <v>1.26</v>
      </c>
      <c r="W102" s="74"/>
      <c r="X102" s="56"/>
      <c r="Y102" s="45"/>
      <c r="Z102" s="55"/>
      <c r="AA102" s="55"/>
      <c r="AB102" s="55"/>
      <c r="AC102" s="55"/>
      <c r="AI102" s="282"/>
      <c r="AJ102" s="43"/>
      <c r="AK102" s="43"/>
      <c r="AL102" s="50"/>
      <c r="AM102" s="49"/>
      <c r="AN102" s="47"/>
      <c r="AO102" s="282"/>
      <c r="BT102" s="10"/>
      <c r="BU102" s="10"/>
      <c r="BV102" s="10"/>
      <c r="BW102" s="10"/>
      <c r="CT102" s="307"/>
      <c r="CU102" s="307"/>
      <c r="CV102" s="307"/>
      <c r="CW102" s="307"/>
      <c r="CX102" s="307"/>
      <c r="CY102" s="307"/>
      <c r="CZ102" s="307"/>
      <c r="DA102" s="307"/>
      <c r="DB102" s="307"/>
      <c r="DC102" s="307"/>
      <c r="DD102" s="307"/>
      <c r="DE102" s="307"/>
      <c r="DF102" s="307"/>
      <c r="DG102" s="307"/>
      <c r="DH102" s="307"/>
      <c r="DI102" s="307"/>
      <c r="DJ102" s="307"/>
      <c r="DK102" s="307"/>
      <c r="DN102" s="9"/>
      <c r="DO102" s="9"/>
      <c r="DP102" s="9"/>
      <c r="DQ102" s="9"/>
      <c r="DR102" s="9"/>
      <c r="DS102" s="9"/>
      <c r="EF102" s="307"/>
      <c r="EG102" s="307"/>
      <c r="EH102" s="307"/>
      <c r="EI102" s="307"/>
      <c r="EJ102" s="307"/>
      <c r="EK102" s="307"/>
    </row>
    <row r="103" spans="1:141" ht="18" customHeight="1">
      <c r="A103" s="376">
        <f t="shared" si="0"/>
        <v>2037</v>
      </c>
      <c r="B103" s="377"/>
      <c r="C103" s="378">
        <f>-IF(Tabelle1!$AN$41&gt;15,Tabelle1!AN97,0)</f>
        <v>0</v>
      </c>
      <c r="D103" s="379"/>
      <c r="E103" s="378">
        <f>-IF(Tabelle1!$AN$41&gt;15,Tabelle1!AP97,0)</f>
        <v>0</v>
      </c>
      <c r="F103" s="379"/>
      <c r="G103" s="378">
        <f>-IF(Tabelle1!$AN$41&gt;15,Tabelle1!AO97,0)</f>
        <v>0</v>
      </c>
      <c r="H103" s="379"/>
      <c r="I103" s="378">
        <f>-IF(Tabelle1!$AN$41&gt;15,Tabelle1!AM97,0)</f>
        <v>0</v>
      </c>
      <c r="J103" s="378"/>
      <c r="K103" s="378">
        <f>+((($E$57-Tabelle1!BC36-Tabelle1!BD36)*$M$55/100)+IF($E$55&gt;10000,0,0))*Tabelle1!$B$13</f>
        <v>3288.4612606300002</v>
      </c>
      <c r="L103" s="378"/>
      <c r="M103" s="378">
        <f>Tabelle1!BQ36</f>
        <v>0</v>
      </c>
      <c r="N103" s="380"/>
      <c r="O103" s="381">
        <f>Tabelle1!BF36</f>
        <v>0</v>
      </c>
      <c r="P103" s="382"/>
      <c r="Q103" s="383">
        <f>Q102+K103+M103+O103+E103-$E$37+Tabelle1!AY36</f>
        <v>13553.686473229996</v>
      </c>
      <c r="S103" s="152" t="s">
        <v>567</v>
      </c>
      <c r="T103" s="151">
        <v>245</v>
      </c>
      <c r="U103" s="150">
        <v>1.26</v>
      </c>
      <c r="W103" s="74"/>
      <c r="X103" s="56"/>
      <c r="Y103" s="45"/>
      <c r="Z103" s="55"/>
      <c r="AA103" s="55"/>
      <c r="AB103" s="55"/>
      <c r="AC103" s="55"/>
      <c r="AI103" s="282"/>
      <c r="AJ103" s="43"/>
      <c r="AK103" s="43"/>
      <c r="AL103" s="50"/>
      <c r="AM103" s="49"/>
      <c r="AN103" s="47"/>
      <c r="AO103" s="282"/>
      <c r="BT103" s="10"/>
      <c r="BU103" s="10"/>
      <c r="BV103" s="10"/>
      <c r="BW103" s="10"/>
      <c r="CT103" s="307"/>
      <c r="CU103" s="307"/>
      <c r="CV103" s="307"/>
      <c r="CW103" s="307"/>
      <c r="CX103" s="307"/>
      <c r="CY103" s="307"/>
      <c r="CZ103" s="307"/>
      <c r="DA103" s="307"/>
      <c r="DB103" s="307"/>
      <c r="DC103" s="307"/>
      <c r="DD103" s="307"/>
      <c r="DE103" s="307"/>
      <c r="DF103" s="307"/>
      <c r="DG103" s="307"/>
      <c r="DH103" s="307"/>
      <c r="DI103" s="307"/>
      <c r="DJ103" s="307"/>
      <c r="DK103" s="307"/>
      <c r="DN103" s="9"/>
      <c r="DO103" s="9"/>
      <c r="DP103" s="9"/>
      <c r="DQ103" s="9"/>
      <c r="DR103" s="9"/>
      <c r="DS103" s="9"/>
      <c r="EF103" s="307"/>
      <c r="EG103" s="307"/>
      <c r="EH103" s="307"/>
      <c r="EI103" s="307"/>
      <c r="EJ103" s="307"/>
      <c r="EK103" s="307"/>
    </row>
    <row r="104" spans="1:141" ht="18" customHeight="1">
      <c r="A104" s="366">
        <f t="shared" si="0"/>
        <v>2038</v>
      </c>
      <c r="B104" s="65"/>
      <c r="C104" s="367"/>
      <c r="D104" s="368"/>
      <c r="E104" s="367"/>
      <c r="F104" s="368"/>
      <c r="G104" s="367"/>
      <c r="H104" s="368"/>
      <c r="I104" s="367"/>
      <c r="J104" s="368"/>
      <c r="K104" s="384">
        <f>IF(E41="ja",IF($E$35="ja",$I$23*$I$57*Tabelle1!CA38/100,$I$23*$I$57/100),0)</f>
        <v>816.27</v>
      </c>
      <c r="L104" s="362"/>
      <c r="M104" s="384"/>
      <c r="N104" s="362"/>
      <c r="O104" s="371">
        <f>Tabelle1!BF37</f>
        <v>0</v>
      </c>
      <c r="P104" s="362"/>
      <c r="Q104" s="372">
        <f>Q103+K104+M104+O104+E104-$E$37+Tabelle1!AY37</f>
        <v>13403.956473229997</v>
      </c>
      <c r="R104" s="10"/>
      <c r="S104" s="152" t="s">
        <v>568</v>
      </c>
      <c r="T104" s="151">
        <v>285</v>
      </c>
      <c r="U104" s="150">
        <v>1.54</v>
      </c>
      <c r="W104" s="74"/>
      <c r="X104" s="56"/>
      <c r="Y104" s="45"/>
      <c r="Z104" s="55"/>
      <c r="AA104" s="55"/>
      <c r="AB104" s="55"/>
      <c r="AC104" s="55"/>
      <c r="AI104" s="282"/>
      <c r="AJ104" s="43"/>
      <c r="AK104" s="43"/>
      <c r="AL104" s="50"/>
      <c r="AM104" s="49"/>
      <c r="AN104" s="47"/>
      <c r="AO104" s="282"/>
      <c r="BT104" s="10"/>
      <c r="BU104" s="10"/>
      <c r="BV104" s="10"/>
      <c r="BW104" s="10"/>
      <c r="CT104" s="307"/>
      <c r="CU104" s="307"/>
      <c r="CV104" s="307"/>
      <c r="CW104" s="307"/>
      <c r="CX104" s="307"/>
      <c r="CY104" s="307"/>
      <c r="CZ104" s="307"/>
      <c r="DA104" s="307"/>
      <c r="DB104" s="307"/>
      <c r="DC104" s="307"/>
      <c r="DD104" s="307"/>
      <c r="DE104" s="307"/>
      <c r="DF104" s="307"/>
      <c r="DG104" s="307"/>
      <c r="DH104" s="307"/>
      <c r="DI104" s="307"/>
      <c r="DJ104" s="307"/>
      <c r="DK104" s="307"/>
      <c r="DN104" s="9"/>
      <c r="DO104" s="9"/>
      <c r="DP104" s="9"/>
      <c r="DQ104" s="9"/>
      <c r="DR104" s="9"/>
      <c r="DS104" s="9"/>
      <c r="EF104" s="307"/>
      <c r="EG104" s="307"/>
      <c r="EH104" s="307"/>
      <c r="EI104" s="307"/>
      <c r="EJ104" s="307"/>
      <c r="EK104" s="307"/>
    </row>
    <row r="105" spans="1:141" ht="18" customHeight="1">
      <c r="A105" s="373">
        <f t="shared" si="0"/>
        <v>2039</v>
      </c>
      <c r="B105" s="65"/>
      <c r="C105" s="359"/>
      <c r="D105" s="368"/>
      <c r="E105" s="359"/>
      <c r="F105" s="368"/>
      <c r="G105" s="359"/>
      <c r="H105" s="368"/>
      <c r="I105" s="359"/>
      <c r="J105" s="368"/>
      <c r="K105" s="361">
        <f>IF(E41="ja",IF($E$35="ja",$I$23*$I$57*Tabelle1!CA39/100,$I$23*$I$57/100),0)</f>
        <v>816.27</v>
      </c>
      <c r="L105" s="362"/>
      <c r="M105" s="361"/>
      <c r="N105" s="362"/>
      <c r="O105" s="363">
        <f>Tabelle1!BF38</f>
        <v>0</v>
      </c>
      <c r="P105" s="362"/>
      <c r="Q105" s="365">
        <f>Q104+K105+M105+O105+E105-$E$37+Tabelle1!AY38</f>
        <v>13254.226473229997</v>
      </c>
      <c r="S105" s="152" t="s">
        <v>569</v>
      </c>
      <c r="T105" s="151">
        <v>295</v>
      </c>
      <c r="U105" s="150">
        <v>1.54</v>
      </c>
      <c r="W105" s="74"/>
      <c r="X105" s="56"/>
      <c r="Y105" s="45"/>
      <c r="Z105" s="55"/>
      <c r="AA105" s="55"/>
      <c r="AB105" s="55"/>
      <c r="AC105" s="55"/>
      <c r="AI105" s="282"/>
      <c r="AJ105" s="43"/>
      <c r="AK105" s="43"/>
      <c r="AL105" s="50"/>
      <c r="AM105" s="49"/>
      <c r="AN105" s="47"/>
      <c r="AO105" s="43"/>
      <c r="BT105" s="10"/>
      <c r="BU105" s="10"/>
      <c r="BV105" s="10"/>
      <c r="BW105" s="10"/>
      <c r="CT105" s="307"/>
      <c r="CU105" s="307"/>
      <c r="CV105" s="307"/>
      <c r="CW105" s="307"/>
      <c r="CX105" s="307"/>
      <c r="CY105" s="307"/>
      <c r="CZ105" s="307"/>
      <c r="DA105" s="307"/>
      <c r="DB105" s="307"/>
      <c r="DC105" s="307"/>
      <c r="DD105" s="307"/>
      <c r="DE105" s="307"/>
      <c r="DF105" s="307"/>
      <c r="DG105" s="307"/>
      <c r="DH105" s="307"/>
      <c r="DI105" s="307"/>
      <c r="DJ105" s="307"/>
      <c r="DK105" s="307"/>
      <c r="DN105" s="9"/>
      <c r="DO105" s="9"/>
      <c r="DP105" s="9"/>
      <c r="DQ105" s="9"/>
      <c r="DR105" s="9"/>
      <c r="DS105" s="9"/>
      <c r="EF105" s="307"/>
      <c r="EG105" s="307"/>
      <c r="EH105" s="307"/>
      <c r="EI105" s="307"/>
      <c r="EJ105" s="307"/>
      <c r="EK105" s="307"/>
    </row>
    <row r="106" spans="1:141" ht="18" customHeight="1">
      <c r="A106" s="366">
        <f t="shared" si="0"/>
        <v>2040</v>
      </c>
      <c r="B106" s="65"/>
      <c r="C106" s="367"/>
      <c r="D106" s="368"/>
      <c r="E106" s="367"/>
      <c r="F106" s="368"/>
      <c r="G106" s="367"/>
      <c r="H106" s="368"/>
      <c r="I106" s="367"/>
      <c r="J106" s="368"/>
      <c r="K106" s="384">
        <f>IF(E41="ja",IF($E$35="ja",$I$23*$I$57*Tabelle1!CA40/100,$I$23*$I$57/100),0)</f>
        <v>816.27</v>
      </c>
      <c r="L106" s="362"/>
      <c r="M106" s="384"/>
      <c r="N106" s="362"/>
      <c r="O106" s="371">
        <f>Tabelle1!BF39</f>
        <v>0</v>
      </c>
      <c r="P106" s="362"/>
      <c r="Q106" s="372">
        <f>Q105+K106+M106+O106+E106-$E$37+Tabelle1!AY39</f>
        <v>13104.496473229998</v>
      </c>
      <c r="S106" s="152" t="s">
        <v>570</v>
      </c>
      <c r="T106" s="151">
        <v>325</v>
      </c>
      <c r="U106" s="150">
        <v>1.67</v>
      </c>
      <c r="W106" s="74"/>
      <c r="X106" s="56"/>
      <c r="Y106" s="45"/>
      <c r="Z106" s="55"/>
      <c r="AA106" s="55"/>
      <c r="AB106" s="55"/>
      <c r="AC106" s="55"/>
      <c r="AI106" s="282"/>
      <c r="AJ106" s="43"/>
      <c r="AK106" s="43"/>
      <c r="AL106" s="50"/>
      <c r="AM106" s="49"/>
      <c r="AN106" s="47"/>
      <c r="AO106" s="282"/>
      <c r="BT106" s="10"/>
      <c r="BU106" s="10"/>
      <c r="BV106" s="10"/>
      <c r="BW106" s="10"/>
      <c r="CT106" s="307"/>
      <c r="CU106" s="307"/>
      <c r="CV106" s="307"/>
      <c r="CW106" s="307"/>
      <c r="CX106" s="307"/>
      <c r="CY106" s="307"/>
      <c r="CZ106" s="307"/>
      <c r="DA106" s="307"/>
      <c r="DB106" s="307"/>
      <c r="DC106" s="307"/>
      <c r="DD106" s="307"/>
      <c r="DE106" s="307"/>
      <c r="DF106" s="307"/>
      <c r="DG106" s="307"/>
      <c r="DH106" s="307"/>
      <c r="DI106" s="307"/>
      <c r="DJ106" s="307"/>
      <c r="DK106" s="307"/>
      <c r="DN106" s="9"/>
      <c r="DO106" s="9"/>
      <c r="DP106" s="9"/>
      <c r="DQ106" s="9"/>
      <c r="DR106" s="9"/>
      <c r="DS106" s="9"/>
      <c r="EF106" s="307"/>
      <c r="EG106" s="307"/>
      <c r="EH106" s="307"/>
      <c r="EI106" s="307"/>
      <c r="EJ106" s="307"/>
      <c r="EK106" s="307"/>
    </row>
    <row r="107" spans="1:141" ht="18" customHeight="1">
      <c r="A107" s="373">
        <f t="shared" si="0"/>
        <v>2041</v>
      </c>
      <c r="B107" s="65"/>
      <c r="C107" s="359"/>
      <c r="D107" s="368"/>
      <c r="E107" s="359"/>
      <c r="F107" s="368"/>
      <c r="G107" s="359"/>
      <c r="H107" s="368"/>
      <c r="I107" s="359"/>
      <c r="J107" s="368"/>
      <c r="K107" s="361">
        <f>IF(E41="ja",IF($E$35="ja",$I$23*$I$57*Tabelle1!CA41/100,$I$23*$I$57/100),0)</f>
        <v>816.27</v>
      </c>
      <c r="L107" s="362"/>
      <c r="M107" s="361"/>
      <c r="N107" s="362"/>
      <c r="O107" s="363">
        <f>Tabelle1!BF40</f>
        <v>0</v>
      </c>
      <c r="P107" s="362"/>
      <c r="Q107" s="365">
        <f>Q106+K107+M107+O107+E107-$E$37+Tabelle1!AY40</f>
        <v>12954.766473229998</v>
      </c>
      <c r="S107" s="152" t="s">
        <v>571</v>
      </c>
      <c r="T107" s="151">
        <v>330</v>
      </c>
      <c r="U107" s="150">
        <v>1.67</v>
      </c>
      <c r="W107" s="74"/>
      <c r="X107" s="56"/>
      <c r="Y107" s="45"/>
      <c r="Z107" s="55"/>
      <c r="AA107" s="55"/>
      <c r="AB107" s="55"/>
      <c r="AC107" s="55"/>
      <c r="AD107" s="282"/>
      <c r="AH107" s="282"/>
      <c r="AI107" s="282"/>
      <c r="AJ107" s="43"/>
      <c r="AK107" s="43"/>
      <c r="AL107" s="50"/>
      <c r="AM107" s="49"/>
      <c r="AN107" s="47"/>
      <c r="AO107" s="282"/>
      <c r="BT107" s="10"/>
      <c r="BU107" s="10"/>
      <c r="BV107" s="10"/>
      <c r="BW107" s="10"/>
      <c r="CT107" s="307"/>
      <c r="CU107" s="307"/>
      <c r="CV107" s="307"/>
      <c r="CW107" s="307"/>
      <c r="CX107" s="307"/>
      <c r="CY107" s="307"/>
      <c r="CZ107" s="307"/>
      <c r="DA107" s="307"/>
      <c r="DB107" s="307"/>
      <c r="DC107" s="307"/>
      <c r="DD107" s="307"/>
      <c r="DE107" s="307"/>
      <c r="DF107" s="307"/>
      <c r="DG107" s="307"/>
      <c r="DH107" s="307"/>
      <c r="DI107" s="307"/>
      <c r="DJ107" s="307"/>
      <c r="DK107" s="307"/>
      <c r="DN107" s="9"/>
      <c r="DO107" s="9"/>
      <c r="DP107" s="9"/>
      <c r="DQ107" s="9"/>
      <c r="DR107" s="9"/>
      <c r="DS107" s="9"/>
      <c r="EF107" s="307"/>
      <c r="EG107" s="307"/>
      <c r="EH107" s="307"/>
      <c r="EI107" s="307"/>
      <c r="EJ107" s="307"/>
      <c r="EK107" s="307"/>
    </row>
    <row r="108" spans="1:141" ht="18" customHeight="1" thickBot="1">
      <c r="A108" s="385">
        <f t="shared" si="0"/>
        <v>2042</v>
      </c>
      <c r="B108" s="386"/>
      <c r="C108" s="387"/>
      <c r="D108" s="388"/>
      <c r="E108" s="387"/>
      <c r="F108" s="388"/>
      <c r="G108" s="387"/>
      <c r="H108" s="388"/>
      <c r="I108" s="387"/>
      <c r="J108" s="388"/>
      <c r="K108" s="389">
        <f>IF(E41="ja",IF($E$35="ja",$I$23*$I$57*Tabelle1!CA42/100,$I$23*$I$57/100),0)</f>
        <v>816.27</v>
      </c>
      <c r="L108" s="390"/>
      <c r="M108" s="389"/>
      <c r="N108" s="390"/>
      <c r="O108" s="391">
        <f>Tabelle1!BF41</f>
        <v>0</v>
      </c>
      <c r="P108" s="390"/>
      <c r="Q108" s="392">
        <f>Q107+K108+M108+O108+E108-$E$37+Tabelle1!AY41</f>
        <v>12805.036473229999</v>
      </c>
      <c r="R108" s="10"/>
      <c r="S108" s="152" t="s">
        <v>552</v>
      </c>
      <c r="T108" s="151">
        <v>255</v>
      </c>
      <c r="U108" s="150">
        <v>1.65</v>
      </c>
      <c r="W108" s="74"/>
      <c r="X108" s="56"/>
      <c r="Y108" s="45"/>
      <c r="Z108" s="55"/>
      <c r="AA108" s="55"/>
      <c r="AB108" s="55"/>
      <c r="AC108" s="55"/>
      <c r="AD108" s="282"/>
      <c r="AE108" s="282"/>
      <c r="AF108" s="282"/>
      <c r="AG108" s="282"/>
      <c r="AH108" s="282"/>
      <c r="AI108" s="282"/>
      <c r="AJ108" s="43"/>
      <c r="AK108" s="43"/>
      <c r="AL108" s="50"/>
      <c r="AM108" s="49"/>
      <c r="AN108" s="47"/>
      <c r="AO108" s="282"/>
      <c r="BT108" s="10"/>
      <c r="BU108" s="10"/>
      <c r="BV108" s="10"/>
      <c r="BW108" s="10"/>
      <c r="CT108" s="307"/>
      <c r="CU108" s="307"/>
      <c r="CV108" s="307"/>
      <c r="CW108" s="307"/>
      <c r="CX108" s="307"/>
      <c r="CY108" s="307"/>
      <c r="CZ108" s="307"/>
      <c r="DA108" s="307"/>
      <c r="DB108" s="307"/>
      <c r="DC108" s="307"/>
      <c r="DD108" s="307"/>
      <c r="DE108" s="307"/>
      <c r="DF108" s="307"/>
      <c r="DG108" s="307"/>
      <c r="DH108" s="307"/>
      <c r="DI108" s="307"/>
      <c r="DJ108" s="307"/>
      <c r="DK108" s="307"/>
      <c r="DN108" s="9"/>
      <c r="DO108" s="9"/>
      <c r="DP108" s="9"/>
      <c r="DQ108" s="9"/>
      <c r="DR108" s="9"/>
      <c r="DS108" s="9"/>
      <c r="EF108" s="307"/>
      <c r="EG108" s="307"/>
      <c r="EH108" s="307"/>
      <c r="EI108" s="307"/>
      <c r="EJ108" s="307"/>
      <c r="EK108" s="307"/>
    </row>
    <row r="109" spans="1:141" ht="18" customHeight="1" thickBot="1">
      <c r="A109" s="768" t="s">
        <v>46</v>
      </c>
      <c r="B109" s="769"/>
      <c r="C109" s="769"/>
      <c r="D109" s="146"/>
      <c r="E109" s="145">
        <f>SUM(E84:E103)</f>
        <v>0</v>
      </c>
      <c r="F109" s="144"/>
      <c r="G109" s="145">
        <f>SUM(G84:G103)</f>
        <v>0</v>
      </c>
      <c r="H109" s="144"/>
      <c r="I109" s="143"/>
      <c r="J109" s="142"/>
      <c r="K109" s="283">
        <f>SUM(K83:L108)</f>
        <v>73139.036473230022</v>
      </c>
      <c r="L109" s="283">
        <f>SUM(L78:L103)</f>
        <v>544.18000000000006</v>
      </c>
      <c r="M109" s="283">
        <f>SUM(M83:M103)</f>
        <v>0</v>
      </c>
      <c r="N109" s="284"/>
      <c r="O109" s="297">
        <f>SUM(O83:O108)</f>
        <v>0</v>
      </c>
      <c r="P109" s="296">
        <f>SUM(P83:P108)</f>
        <v>0</v>
      </c>
      <c r="Q109" s="297">
        <f>Q108</f>
        <v>12805.036473229999</v>
      </c>
      <c r="S109" s="152" t="s">
        <v>550</v>
      </c>
      <c r="T109" s="151">
        <v>255</v>
      </c>
      <c r="U109" s="150">
        <v>1.65</v>
      </c>
      <c r="W109" s="74"/>
      <c r="X109" s="56"/>
      <c r="Y109" s="45"/>
      <c r="Z109" s="55"/>
      <c r="AA109" s="55"/>
      <c r="AB109" s="55"/>
      <c r="AC109" s="55"/>
      <c r="AD109" s="282"/>
      <c r="AE109" s="282"/>
      <c r="AF109" s="282"/>
      <c r="AG109" s="282"/>
      <c r="AH109" s="282"/>
      <c r="AI109" s="282"/>
      <c r="AJ109" s="43"/>
      <c r="AK109" s="43"/>
      <c r="AL109" s="50"/>
      <c r="AM109" s="49"/>
      <c r="AN109" s="47"/>
      <c r="AO109" s="43"/>
      <c r="BT109" s="10"/>
      <c r="BU109" s="10"/>
      <c r="BV109" s="10"/>
      <c r="BW109" s="10"/>
      <c r="CT109" s="307"/>
      <c r="CU109" s="307"/>
      <c r="CV109" s="307"/>
      <c r="CW109" s="307"/>
      <c r="CX109" s="307"/>
      <c r="CY109" s="307"/>
      <c r="CZ109" s="307"/>
      <c r="DA109" s="307"/>
      <c r="DB109" s="307"/>
      <c r="DC109" s="307"/>
      <c r="DD109" s="307"/>
      <c r="DE109" s="307"/>
      <c r="DF109" s="307"/>
      <c r="DG109" s="307"/>
      <c r="DH109" s="307"/>
      <c r="DI109" s="307"/>
      <c r="DJ109" s="307"/>
      <c r="DK109" s="307"/>
      <c r="DN109" s="9"/>
      <c r="DO109" s="9"/>
      <c r="DP109" s="9"/>
      <c r="DQ109" s="9"/>
      <c r="DR109" s="9"/>
      <c r="DS109" s="9"/>
      <c r="EF109" s="307"/>
      <c r="EG109" s="307"/>
      <c r="EH109" s="307"/>
      <c r="EI109" s="307"/>
      <c r="EJ109" s="307"/>
      <c r="EK109" s="307"/>
    </row>
    <row r="110" spans="1:141" ht="17.25" customHeight="1" thickBot="1">
      <c r="A110" s="140"/>
      <c r="B110" s="140"/>
      <c r="C110" s="140"/>
      <c r="D110" s="406"/>
      <c r="E110" s="139"/>
      <c r="F110" s="138"/>
      <c r="G110" s="139"/>
      <c r="H110" s="138"/>
      <c r="I110" s="137"/>
      <c r="J110" s="45"/>
      <c r="K110" s="764">
        <f>K109+M109+O109</f>
        <v>73139.036473230022</v>
      </c>
      <c r="L110" s="765"/>
      <c r="M110" s="765"/>
      <c r="N110" s="765"/>
      <c r="O110" s="766"/>
      <c r="P110" s="136"/>
      <c r="Q110" s="9"/>
      <c r="S110" s="152" t="s">
        <v>551</v>
      </c>
      <c r="T110" s="151">
        <v>265</v>
      </c>
      <c r="U110" s="150">
        <v>1.65</v>
      </c>
      <c r="W110" s="74"/>
      <c r="X110" s="56"/>
      <c r="Y110" s="45"/>
      <c r="Z110" s="55"/>
      <c r="AA110" s="55"/>
      <c r="AB110" s="55"/>
      <c r="AC110" s="55"/>
      <c r="AD110" s="282"/>
      <c r="AE110" s="282"/>
      <c r="AF110" s="282"/>
      <c r="AG110" s="282"/>
      <c r="AH110" s="282"/>
      <c r="AI110" s="403"/>
      <c r="AJ110" s="43"/>
      <c r="AK110" s="43"/>
      <c r="AL110" s="50"/>
      <c r="AM110" s="49"/>
      <c r="AN110" s="33"/>
      <c r="AO110" s="33"/>
      <c r="BT110" s="10"/>
      <c r="BU110" s="10"/>
      <c r="BV110" s="10"/>
      <c r="BW110" s="10"/>
      <c r="CT110" s="307"/>
      <c r="CU110" s="307"/>
      <c r="CV110" s="307"/>
      <c r="CW110" s="307"/>
      <c r="CX110" s="307"/>
      <c r="CY110" s="307"/>
      <c r="CZ110" s="307"/>
      <c r="DA110" s="307"/>
      <c r="DB110" s="307"/>
      <c r="DC110" s="307"/>
      <c r="DD110" s="307"/>
      <c r="DE110" s="307"/>
      <c r="DF110" s="307"/>
      <c r="DG110" s="307"/>
      <c r="DH110" s="307"/>
      <c r="DI110" s="307"/>
      <c r="DJ110" s="307"/>
      <c r="DK110" s="307"/>
      <c r="DN110" s="9"/>
      <c r="DO110" s="9"/>
      <c r="DP110" s="9"/>
      <c r="DQ110" s="9"/>
      <c r="DR110" s="9"/>
      <c r="DS110" s="9"/>
      <c r="EF110" s="307"/>
      <c r="EG110" s="307"/>
      <c r="EH110" s="307"/>
      <c r="EI110" s="307"/>
      <c r="EJ110" s="307"/>
      <c r="EK110" s="307"/>
    </row>
    <row r="111" spans="1:141" ht="17.25" customHeight="1">
      <c r="A111" s="127"/>
      <c r="B111" s="135"/>
      <c r="C111" s="127"/>
      <c r="D111" s="135"/>
      <c r="E111" s="126"/>
      <c r="F111" s="132"/>
      <c r="G111" s="134"/>
      <c r="H111" s="133"/>
      <c r="I111" s="126"/>
      <c r="J111" s="132"/>
      <c r="K111" s="131"/>
      <c r="L111" s="131"/>
      <c r="M111" s="131"/>
      <c r="N111" s="130"/>
      <c r="O111" s="129"/>
      <c r="P111" s="128"/>
      <c r="Q111" s="9"/>
      <c r="S111" s="152" t="s">
        <v>553</v>
      </c>
      <c r="T111" s="151">
        <v>280</v>
      </c>
      <c r="U111" s="150">
        <v>1.65</v>
      </c>
      <c r="W111" s="74"/>
      <c r="X111" s="56"/>
      <c r="Y111" s="45"/>
      <c r="Z111" s="55"/>
      <c r="AA111" s="55"/>
      <c r="AB111" s="55"/>
      <c r="AC111" s="55"/>
      <c r="AD111" s="33"/>
      <c r="AE111" s="282"/>
      <c r="AF111" s="282"/>
      <c r="AG111" s="282"/>
      <c r="AH111" s="33"/>
      <c r="AI111" s="403"/>
      <c r="AJ111" s="43"/>
      <c r="AK111" s="43"/>
      <c r="AL111" s="50"/>
      <c r="AM111" s="49"/>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73"/>
      <c r="BU111" s="73"/>
      <c r="BV111" s="73"/>
      <c r="BW111" s="73"/>
      <c r="CT111" s="307"/>
      <c r="CU111" s="307"/>
      <c r="CV111" s="307"/>
      <c r="CW111" s="307"/>
      <c r="CX111" s="307"/>
      <c r="CY111" s="307"/>
      <c r="CZ111" s="307"/>
      <c r="DA111" s="307"/>
      <c r="DB111" s="307"/>
      <c r="DC111" s="307"/>
      <c r="DD111" s="307"/>
      <c r="DE111" s="307"/>
      <c r="DF111" s="307"/>
      <c r="DG111" s="307"/>
      <c r="DH111" s="307"/>
      <c r="DI111" s="307"/>
      <c r="DJ111" s="307"/>
      <c r="DK111" s="307"/>
      <c r="DN111" s="9"/>
      <c r="DO111" s="9"/>
      <c r="DP111" s="9"/>
      <c r="DQ111" s="9"/>
      <c r="DR111" s="9"/>
      <c r="DS111" s="9"/>
      <c r="EF111" s="307"/>
      <c r="EG111" s="307"/>
      <c r="EH111" s="307"/>
      <c r="EI111" s="307"/>
      <c r="EJ111" s="307"/>
      <c r="EK111" s="307"/>
    </row>
    <row r="112" spans="1:141" ht="17.25" customHeight="1">
      <c r="A112" s="127"/>
      <c r="C112" s="10"/>
      <c r="E112" s="10"/>
      <c r="G112" s="10"/>
      <c r="I112" s="126"/>
      <c r="R112" s="308"/>
      <c r="S112" s="152" t="s">
        <v>549</v>
      </c>
      <c r="T112" s="151">
        <v>260</v>
      </c>
      <c r="U112" s="150">
        <v>1.63</v>
      </c>
      <c r="W112" s="74"/>
      <c r="X112" s="56"/>
      <c r="Y112" s="45"/>
      <c r="Z112" s="55"/>
      <c r="AA112" s="55"/>
      <c r="AB112" s="55"/>
      <c r="AC112" s="55"/>
      <c r="AD112" s="33"/>
      <c r="AE112" s="33"/>
      <c r="AF112" s="33"/>
      <c r="AG112" s="33"/>
      <c r="AH112" s="33"/>
      <c r="AI112" s="282"/>
      <c r="AJ112" s="43"/>
      <c r="AK112" s="43"/>
      <c r="AL112" s="50"/>
      <c r="AM112" s="49"/>
      <c r="AN112" s="47"/>
      <c r="AO112" s="282"/>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73"/>
      <c r="BU112" s="73"/>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c r="CR112" s="73"/>
      <c r="CS112" s="73"/>
      <c r="CT112" s="72"/>
      <c r="CU112" s="72"/>
      <c r="CV112" s="72"/>
      <c r="CW112" s="307"/>
      <c r="CX112" s="307"/>
      <c r="CY112" s="307"/>
      <c r="CZ112" s="307"/>
      <c r="DA112" s="307"/>
      <c r="DB112" s="307"/>
      <c r="DC112" s="307"/>
      <c r="DD112" s="307"/>
      <c r="DE112" s="307"/>
      <c r="DF112" s="307"/>
      <c r="DG112" s="307"/>
      <c r="DH112" s="307"/>
      <c r="DI112" s="307"/>
      <c r="DJ112" s="307"/>
      <c r="DK112" s="307"/>
      <c r="DN112" s="9"/>
      <c r="DO112" s="9"/>
      <c r="DP112" s="9"/>
      <c r="DQ112" s="9"/>
      <c r="DR112" s="9"/>
      <c r="DS112" s="9"/>
      <c r="EF112" s="307"/>
      <c r="EG112" s="307"/>
      <c r="EH112" s="307"/>
      <c r="EI112" s="307"/>
      <c r="EJ112" s="307"/>
      <c r="EK112" s="307"/>
    </row>
    <row r="113" spans="1:141" s="70" customFormat="1" ht="17.25" customHeight="1">
      <c r="A113" s="405"/>
      <c r="B113" s="10"/>
      <c r="C113" s="307"/>
      <c r="D113" s="10"/>
      <c r="E113" s="307"/>
      <c r="F113" s="10"/>
      <c r="G113" s="307"/>
      <c r="H113" s="10"/>
      <c r="I113" s="124"/>
      <c r="Q113" s="307"/>
      <c r="R113" s="64"/>
      <c r="S113" s="152" t="s">
        <v>529</v>
      </c>
      <c r="T113" s="151">
        <v>250</v>
      </c>
      <c r="U113" s="150">
        <v>1.47</v>
      </c>
      <c r="V113" s="308"/>
      <c r="W113" s="67"/>
      <c r="X113" s="56"/>
      <c r="Y113" s="45"/>
      <c r="Z113" s="55"/>
      <c r="AA113" s="55"/>
      <c r="AB113" s="55"/>
      <c r="AC113" s="55"/>
      <c r="AD113" s="282"/>
      <c r="AE113" s="33"/>
      <c r="AF113" s="33"/>
      <c r="AG113" s="33"/>
      <c r="AH113" s="282"/>
      <c r="AI113" s="282"/>
      <c r="AJ113" s="43"/>
      <c r="AK113" s="43"/>
      <c r="AL113" s="50"/>
      <c r="AM113" s="49"/>
      <c r="AN113" s="47"/>
      <c r="AO113" s="43"/>
      <c r="AP113" s="308"/>
      <c r="AQ113" s="308"/>
      <c r="AR113" s="308"/>
      <c r="AS113" s="308"/>
      <c r="AT113" s="308"/>
      <c r="AU113" s="308"/>
      <c r="AV113" s="308"/>
      <c r="AW113" s="308"/>
      <c r="AX113" s="308"/>
      <c r="AY113" s="308"/>
      <c r="AZ113" s="308"/>
      <c r="BA113" s="308"/>
      <c r="BB113" s="308"/>
      <c r="BC113" s="308"/>
      <c r="BD113" s="308"/>
      <c r="BE113" s="308"/>
      <c r="BF113" s="308"/>
      <c r="BG113" s="308"/>
      <c r="BH113" s="308"/>
      <c r="BI113" s="308"/>
      <c r="BJ113" s="308"/>
      <c r="BK113" s="308"/>
      <c r="BL113" s="308"/>
      <c r="BM113" s="308"/>
      <c r="BN113" s="308"/>
      <c r="BO113" s="308"/>
      <c r="BP113" s="308"/>
      <c r="BQ113" s="308"/>
      <c r="BR113" s="308"/>
      <c r="BS113" s="308"/>
      <c r="BT113" s="10"/>
      <c r="BU113" s="10"/>
      <c r="BV113" s="10"/>
      <c r="BW113" s="10"/>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2"/>
      <c r="CU113" s="72"/>
      <c r="CV113" s="72"/>
      <c r="CW113" s="72"/>
      <c r="CX113" s="72"/>
      <c r="CY113" s="72"/>
      <c r="CZ113" s="72"/>
      <c r="DA113" s="72"/>
      <c r="DB113" s="72"/>
      <c r="DC113" s="72"/>
      <c r="DD113" s="72"/>
      <c r="DE113" s="72"/>
      <c r="DF113" s="72"/>
      <c r="DG113" s="72"/>
      <c r="DH113" s="72"/>
      <c r="DI113" s="72"/>
      <c r="DJ113" s="72"/>
      <c r="DK113" s="72"/>
      <c r="DL113" s="72"/>
      <c r="DM113" s="72"/>
      <c r="DN113" s="71"/>
      <c r="DO113" s="71"/>
      <c r="DP113" s="71"/>
      <c r="DQ113" s="71"/>
      <c r="DR113" s="71"/>
      <c r="DS113" s="71"/>
    </row>
    <row r="114" spans="1:141" s="70" customFormat="1" ht="17.25" customHeight="1">
      <c r="A114" s="405"/>
      <c r="B114" s="10"/>
      <c r="C114" s="307"/>
      <c r="D114" s="10"/>
      <c r="E114" s="307"/>
      <c r="F114" s="10"/>
      <c r="G114" s="307"/>
      <c r="H114" s="10"/>
      <c r="I114" s="28"/>
      <c r="Q114" s="112"/>
      <c r="R114" s="64"/>
      <c r="S114" s="152" t="s">
        <v>554</v>
      </c>
      <c r="T114" s="151">
        <v>260</v>
      </c>
      <c r="U114" s="150">
        <v>1.63</v>
      </c>
      <c r="V114" s="308"/>
      <c r="W114" s="67"/>
      <c r="X114" s="56"/>
      <c r="Y114" s="45"/>
      <c r="Z114" s="55"/>
      <c r="AA114" s="55"/>
      <c r="AB114" s="55"/>
      <c r="AC114" s="55"/>
      <c r="AD114" s="282"/>
      <c r="AE114" s="282"/>
      <c r="AF114" s="282"/>
      <c r="AG114" s="282"/>
      <c r="AH114" s="282"/>
      <c r="AI114" s="282"/>
      <c r="AJ114" s="43"/>
      <c r="AK114" s="43"/>
      <c r="AL114" s="50"/>
      <c r="AM114" s="49"/>
      <c r="AN114" s="47"/>
      <c r="AO114" s="282"/>
      <c r="AP114" s="308"/>
      <c r="AQ114" s="308"/>
      <c r="AR114" s="308"/>
      <c r="AS114" s="308"/>
      <c r="AT114" s="308"/>
      <c r="AU114" s="308"/>
      <c r="AV114" s="308"/>
      <c r="AW114" s="308"/>
      <c r="AX114" s="308"/>
      <c r="AY114" s="308"/>
      <c r="AZ114" s="308"/>
      <c r="BA114" s="308"/>
      <c r="BB114" s="308"/>
      <c r="BC114" s="308"/>
      <c r="BD114" s="308"/>
      <c r="BE114" s="308"/>
      <c r="BF114" s="308"/>
      <c r="BG114" s="308"/>
      <c r="BH114" s="308"/>
      <c r="BI114" s="308"/>
      <c r="BJ114" s="308"/>
      <c r="BK114" s="308"/>
      <c r="BL114" s="308"/>
      <c r="BM114" s="308"/>
      <c r="BN114" s="308"/>
      <c r="BO114" s="308"/>
      <c r="BP114" s="308"/>
      <c r="BQ114" s="308"/>
      <c r="BR114" s="308"/>
      <c r="BS114" s="308"/>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307"/>
      <c r="CU114" s="307"/>
      <c r="CV114" s="307"/>
      <c r="CW114" s="72"/>
      <c r="CX114" s="72"/>
      <c r="CY114" s="72"/>
      <c r="CZ114" s="72"/>
      <c r="DA114" s="72"/>
      <c r="DB114" s="72"/>
      <c r="DC114" s="72"/>
      <c r="DD114" s="72"/>
      <c r="DE114" s="72"/>
      <c r="DF114" s="72"/>
      <c r="DG114" s="72"/>
      <c r="DH114" s="72"/>
      <c r="DI114" s="72"/>
      <c r="DJ114" s="72"/>
      <c r="DK114" s="72"/>
      <c r="DL114" s="72"/>
      <c r="DM114" s="72"/>
      <c r="DN114" s="71"/>
      <c r="DO114" s="71"/>
      <c r="DP114" s="71"/>
      <c r="DQ114" s="71"/>
      <c r="DR114" s="71"/>
      <c r="DS114" s="71"/>
    </row>
    <row r="115" spans="1:141" ht="17.25" customHeight="1">
      <c r="I115" s="124"/>
      <c r="Q115" s="308"/>
      <c r="R115" s="64"/>
      <c r="S115" s="152" t="s">
        <v>555</v>
      </c>
      <c r="T115" s="151">
        <v>200</v>
      </c>
      <c r="U115" s="150">
        <v>1.28</v>
      </c>
      <c r="W115" s="67"/>
      <c r="X115" s="56"/>
      <c r="Y115" s="45"/>
      <c r="Z115" s="55"/>
      <c r="AA115" s="55"/>
      <c r="AB115" s="55"/>
      <c r="AC115" s="55"/>
      <c r="AD115" s="282"/>
      <c r="AE115" s="282"/>
      <c r="AF115" s="282"/>
      <c r="AG115" s="282"/>
      <c r="AH115" s="282"/>
      <c r="AI115" s="282"/>
      <c r="AJ115" s="43"/>
      <c r="AK115" s="43"/>
      <c r="AL115" s="50"/>
      <c r="AM115" s="49"/>
      <c r="AN115" s="47"/>
      <c r="AO115" s="282"/>
      <c r="BT115" s="10"/>
      <c r="BU115" s="10"/>
      <c r="BV115" s="10"/>
      <c r="BW115" s="10"/>
      <c r="CT115" s="307"/>
      <c r="CU115" s="307"/>
      <c r="CV115" s="307"/>
      <c r="CW115" s="307"/>
      <c r="CX115" s="307"/>
      <c r="CY115" s="307"/>
      <c r="CZ115" s="307"/>
      <c r="DA115" s="307"/>
      <c r="DB115" s="307"/>
      <c r="DC115" s="307"/>
      <c r="DD115" s="307"/>
      <c r="DE115" s="307"/>
      <c r="DF115" s="307"/>
      <c r="DG115" s="307"/>
      <c r="DH115" s="307"/>
      <c r="DI115" s="307"/>
      <c r="DJ115" s="307"/>
      <c r="DK115" s="307"/>
      <c r="DN115" s="9"/>
      <c r="DO115" s="9"/>
      <c r="DP115" s="9"/>
      <c r="DQ115" s="9"/>
      <c r="DR115" s="9"/>
      <c r="DS115" s="9"/>
      <c r="EF115" s="307"/>
      <c r="EG115" s="307"/>
      <c r="EH115" s="307"/>
      <c r="EI115" s="307"/>
      <c r="EJ115" s="307"/>
      <c r="EK115" s="307"/>
    </row>
    <row r="116" spans="1:141" ht="17.25" customHeight="1">
      <c r="A116" s="122"/>
      <c r="I116" s="124"/>
      <c r="Q116" s="308"/>
      <c r="R116" s="64"/>
      <c r="S116" s="152" t="s">
        <v>582</v>
      </c>
      <c r="T116" s="151">
        <v>220</v>
      </c>
      <c r="U116" s="150"/>
      <c r="W116" s="67"/>
      <c r="X116" s="56"/>
      <c r="Y116" s="45"/>
      <c r="Z116" s="55"/>
      <c r="AA116" s="55"/>
      <c r="AB116" s="55"/>
      <c r="AC116" s="55"/>
      <c r="AD116" s="282"/>
      <c r="AE116" s="282"/>
      <c r="AF116" s="282"/>
      <c r="AG116" s="282"/>
      <c r="AH116" s="282"/>
      <c r="AI116" s="282"/>
      <c r="AJ116" s="43"/>
      <c r="AK116" s="43"/>
      <c r="AL116" s="50"/>
      <c r="AM116" s="49"/>
      <c r="AN116" s="47"/>
      <c r="AO116" s="282"/>
      <c r="BT116" s="10"/>
      <c r="BU116" s="10"/>
      <c r="BV116" s="10"/>
      <c r="BW116" s="10"/>
      <c r="CT116" s="307"/>
      <c r="CU116" s="307"/>
      <c r="CV116" s="307"/>
      <c r="CW116" s="307"/>
      <c r="CX116" s="307"/>
      <c r="CY116" s="307"/>
      <c r="CZ116" s="307"/>
      <c r="DA116" s="307"/>
      <c r="DB116" s="307"/>
      <c r="DC116" s="307"/>
      <c r="DD116" s="307"/>
      <c r="DE116" s="307"/>
      <c r="DF116" s="307"/>
      <c r="DG116" s="307"/>
      <c r="DH116" s="307"/>
      <c r="DI116" s="307"/>
      <c r="DJ116" s="307"/>
      <c r="DK116" s="307"/>
      <c r="DN116" s="9"/>
      <c r="DO116" s="9"/>
      <c r="DP116" s="9"/>
      <c r="DQ116" s="9"/>
      <c r="DR116" s="9"/>
      <c r="DS116" s="9"/>
      <c r="EF116" s="307"/>
      <c r="EG116" s="307"/>
      <c r="EH116" s="307"/>
      <c r="EI116" s="307"/>
      <c r="EJ116" s="307"/>
      <c r="EK116" s="307"/>
    </row>
    <row r="117" spans="1:141" ht="17.25" customHeight="1">
      <c r="I117" s="124"/>
      <c r="Q117" s="308"/>
      <c r="R117" s="64"/>
      <c r="S117" s="152"/>
      <c r="T117" s="151"/>
      <c r="U117" s="150"/>
      <c r="W117" s="67"/>
      <c r="X117" s="56"/>
      <c r="Y117" s="45"/>
      <c r="Z117" s="55"/>
      <c r="AA117" s="55"/>
      <c r="AB117" s="55"/>
      <c r="AC117" s="55"/>
      <c r="AD117" s="282"/>
      <c r="AE117" s="282"/>
      <c r="AF117" s="282"/>
      <c r="AG117" s="282"/>
      <c r="AH117" s="282"/>
      <c r="AI117" s="282"/>
      <c r="AJ117" s="43"/>
      <c r="AK117" s="43"/>
      <c r="AL117" s="50"/>
      <c r="AM117" s="49"/>
      <c r="AN117" s="47"/>
      <c r="AO117" s="43"/>
      <c r="BT117" s="10"/>
      <c r="BU117" s="10"/>
      <c r="BV117" s="10"/>
      <c r="BW117" s="10"/>
      <c r="CT117" s="307"/>
      <c r="CU117" s="307"/>
      <c r="CV117" s="307"/>
      <c r="CW117" s="307"/>
      <c r="CX117" s="307"/>
      <c r="CY117" s="307"/>
      <c r="CZ117" s="307"/>
      <c r="DA117" s="307"/>
      <c r="DB117" s="307"/>
      <c r="DC117" s="307"/>
      <c r="DD117" s="307"/>
      <c r="DE117" s="307"/>
      <c r="DF117" s="307"/>
      <c r="DG117" s="307"/>
      <c r="DH117" s="307"/>
      <c r="DI117" s="307"/>
      <c r="DJ117" s="307"/>
      <c r="DK117" s="307"/>
      <c r="DN117" s="9"/>
      <c r="DO117" s="9"/>
      <c r="DP117" s="9"/>
      <c r="DQ117" s="9"/>
      <c r="DR117" s="9"/>
      <c r="DS117" s="9"/>
      <c r="EF117" s="307"/>
      <c r="EG117" s="307"/>
      <c r="EH117" s="307"/>
      <c r="EI117" s="307"/>
      <c r="EJ117" s="307"/>
      <c r="EK117" s="307"/>
    </row>
    <row r="118" spans="1:141" ht="17.25" customHeight="1">
      <c r="A118" s="405"/>
      <c r="I118" s="28"/>
      <c r="Q118" s="99"/>
      <c r="R118" s="64"/>
      <c r="S118" s="152"/>
      <c r="T118" s="151"/>
      <c r="U118" s="150"/>
      <c r="W118" s="67"/>
      <c r="X118" s="56"/>
      <c r="Y118" s="45"/>
      <c r="Z118" s="55"/>
      <c r="AA118" s="55"/>
      <c r="AB118" s="55"/>
      <c r="AC118" s="55"/>
      <c r="AD118" s="282"/>
      <c r="AE118" s="282"/>
      <c r="AF118" s="282"/>
      <c r="AG118" s="282"/>
      <c r="AH118" s="282"/>
      <c r="AI118" s="282"/>
      <c r="AJ118" s="43"/>
      <c r="AK118" s="43"/>
      <c r="AL118" s="50"/>
      <c r="AM118" s="49"/>
      <c r="AN118" s="47"/>
      <c r="AO118" s="282"/>
      <c r="BT118" s="10"/>
      <c r="BU118" s="10"/>
      <c r="BV118" s="10"/>
      <c r="BW118" s="10"/>
      <c r="CT118" s="307"/>
      <c r="CU118" s="307"/>
      <c r="CV118" s="307"/>
      <c r="CW118" s="307"/>
      <c r="CX118" s="307"/>
      <c r="CY118" s="307"/>
      <c r="CZ118" s="307"/>
      <c r="DA118" s="307"/>
      <c r="DB118" s="307"/>
      <c r="DC118" s="307"/>
      <c r="DD118" s="307"/>
      <c r="DE118" s="307"/>
      <c r="DF118" s="307"/>
      <c r="DG118" s="307"/>
      <c r="DH118" s="307"/>
      <c r="DI118" s="307"/>
      <c r="DJ118" s="307"/>
      <c r="DK118" s="307"/>
      <c r="DN118" s="9"/>
      <c r="DO118" s="9"/>
      <c r="DP118" s="9"/>
      <c r="DQ118" s="9"/>
      <c r="DR118" s="9"/>
      <c r="DS118" s="9"/>
      <c r="EF118" s="307"/>
      <c r="EG118" s="307"/>
      <c r="EH118" s="307"/>
      <c r="EI118" s="307"/>
      <c r="EJ118" s="307"/>
      <c r="EK118" s="307"/>
    </row>
    <row r="119" spans="1:141" ht="17.25" customHeight="1">
      <c r="I119" s="120"/>
      <c r="Q119" s="75"/>
      <c r="R119" s="64"/>
      <c r="S119" s="152"/>
      <c r="T119" s="151"/>
      <c r="U119" s="150"/>
      <c r="W119" s="61"/>
      <c r="X119" s="56"/>
      <c r="Y119" s="45"/>
      <c r="Z119" s="55"/>
      <c r="AA119" s="55"/>
      <c r="AB119" s="55"/>
      <c r="AC119" s="55"/>
      <c r="AD119" s="282"/>
      <c r="AE119" s="282"/>
      <c r="AF119" s="282"/>
      <c r="AG119" s="282"/>
      <c r="AH119" s="282"/>
      <c r="AI119" s="282"/>
      <c r="AJ119" s="43"/>
      <c r="AK119" s="43"/>
      <c r="AL119" s="50"/>
      <c r="AM119" s="49"/>
      <c r="AN119" s="47"/>
      <c r="AO119" s="282"/>
      <c r="BT119" s="10"/>
      <c r="BU119" s="10"/>
      <c r="BV119" s="10"/>
      <c r="BW119" s="10"/>
      <c r="CT119" s="307"/>
      <c r="CU119" s="307"/>
      <c r="CV119" s="307"/>
      <c r="CW119" s="307"/>
      <c r="CX119" s="307"/>
      <c r="CY119" s="307"/>
      <c r="CZ119" s="307"/>
      <c r="DA119" s="307"/>
      <c r="DB119" s="307"/>
      <c r="DC119" s="307"/>
      <c r="DD119" s="307"/>
      <c r="DE119" s="307"/>
      <c r="DF119" s="307"/>
      <c r="DG119" s="307"/>
      <c r="DH119" s="307"/>
      <c r="DI119" s="307"/>
      <c r="DJ119" s="307"/>
      <c r="DK119" s="307"/>
      <c r="DN119" s="9"/>
      <c r="DO119" s="9"/>
      <c r="DP119" s="9"/>
      <c r="DQ119" s="9"/>
      <c r="DR119" s="9"/>
      <c r="DS119" s="9"/>
      <c r="EF119" s="307"/>
      <c r="EG119" s="307"/>
      <c r="EH119" s="307"/>
      <c r="EI119" s="307"/>
      <c r="EJ119" s="307"/>
      <c r="EK119" s="307"/>
    </row>
    <row r="120" spans="1:141" ht="17.25" customHeight="1">
      <c r="A120" s="122"/>
      <c r="I120" s="120"/>
      <c r="Q120" s="75"/>
      <c r="R120" s="64"/>
      <c r="S120" s="152"/>
      <c r="T120" s="151"/>
      <c r="U120" s="150"/>
      <c r="W120" s="61"/>
      <c r="X120" s="56"/>
      <c r="Y120" s="45"/>
      <c r="Z120" s="55"/>
      <c r="AA120" s="55"/>
      <c r="AB120" s="55"/>
      <c r="AC120" s="55"/>
      <c r="AD120" s="282"/>
      <c r="AE120" s="282"/>
      <c r="AF120" s="282"/>
      <c r="AG120" s="282"/>
      <c r="AH120" s="282"/>
      <c r="AI120" s="282"/>
      <c r="AJ120" s="43"/>
      <c r="AK120" s="43"/>
      <c r="AL120" s="50"/>
      <c r="AM120" s="49"/>
      <c r="AN120" s="47"/>
      <c r="AO120" s="282"/>
      <c r="BT120" s="10"/>
      <c r="BU120" s="10"/>
      <c r="BV120" s="10"/>
      <c r="BW120" s="10"/>
      <c r="CT120" s="307"/>
      <c r="CU120" s="307"/>
      <c r="CV120" s="307"/>
      <c r="CW120" s="307"/>
      <c r="CX120" s="307"/>
      <c r="CY120" s="307"/>
      <c r="CZ120" s="307"/>
      <c r="DA120" s="307"/>
      <c r="DB120" s="307"/>
      <c r="DC120" s="307"/>
      <c r="DD120" s="307"/>
      <c r="DE120" s="307"/>
      <c r="DF120" s="307"/>
      <c r="DG120" s="307"/>
      <c r="DH120" s="307"/>
      <c r="DI120" s="307"/>
      <c r="DJ120" s="307"/>
      <c r="DK120" s="307"/>
      <c r="DN120" s="9"/>
      <c r="DO120" s="9"/>
      <c r="DP120" s="9"/>
      <c r="DQ120" s="9"/>
      <c r="DR120" s="9"/>
      <c r="DS120" s="9"/>
      <c r="EF120" s="307"/>
      <c r="EG120" s="307"/>
      <c r="EH120" s="307"/>
      <c r="EI120" s="307"/>
      <c r="EJ120" s="307"/>
      <c r="EK120" s="307"/>
    </row>
    <row r="121" spans="1:141" ht="17.25" customHeight="1" thickBot="1">
      <c r="I121" s="118"/>
      <c r="J121" s="117"/>
      <c r="K121" s="116"/>
      <c r="L121" s="116"/>
      <c r="M121" s="116"/>
      <c r="N121" s="116"/>
      <c r="O121" s="115"/>
      <c r="P121" s="114"/>
      <c r="Q121" s="75"/>
      <c r="R121" s="64"/>
      <c r="S121" s="149"/>
      <c r="T121" s="148"/>
      <c r="U121" s="147"/>
      <c r="W121" s="61"/>
      <c r="X121" s="56"/>
      <c r="Y121" s="45"/>
      <c r="Z121" s="55"/>
      <c r="AA121" s="55"/>
      <c r="AB121" s="55"/>
      <c r="AC121" s="55"/>
      <c r="AD121" s="282"/>
      <c r="AE121" s="282"/>
      <c r="AF121" s="282"/>
      <c r="AG121" s="282"/>
      <c r="AH121" s="282"/>
      <c r="AI121" s="282"/>
      <c r="AJ121" s="43"/>
      <c r="AK121" s="43"/>
      <c r="AL121" s="50"/>
      <c r="AM121" s="49"/>
      <c r="AN121" s="47"/>
      <c r="AO121" s="43"/>
      <c r="BT121" s="10"/>
      <c r="BU121" s="10"/>
      <c r="BV121" s="10"/>
      <c r="BW121" s="10"/>
      <c r="CT121" s="307"/>
      <c r="CU121" s="307"/>
      <c r="CV121" s="307"/>
      <c r="CW121" s="307"/>
      <c r="CX121" s="307"/>
      <c r="CY121" s="307"/>
      <c r="CZ121" s="307"/>
      <c r="DA121" s="307"/>
      <c r="DB121" s="307"/>
      <c r="DC121" s="307"/>
      <c r="DD121" s="307"/>
      <c r="DE121" s="307"/>
      <c r="DF121" s="307"/>
      <c r="DG121" s="307"/>
      <c r="DH121" s="307"/>
      <c r="DI121" s="307"/>
      <c r="DJ121" s="307"/>
      <c r="DK121" s="307"/>
      <c r="DN121" s="9"/>
      <c r="DO121" s="9"/>
      <c r="DP121" s="9"/>
      <c r="DQ121" s="9"/>
      <c r="DR121" s="9"/>
      <c r="DS121" s="9"/>
      <c r="EF121" s="307"/>
      <c r="EG121" s="307"/>
      <c r="EH121" s="307"/>
      <c r="EI121" s="307"/>
      <c r="EJ121" s="307"/>
      <c r="EK121" s="307"/>
    </row>
    <row r="122" spans="1:141" ht="15.75">
      <c r="A122" s="406"/>
      <c r="I122" s="113"/>
      <c r="Q122" s="75"/>
      <c r="R122" s="64"/>
      <c r="S122" s="10"/>
      <c r="T122" s="10"/>
      <c r="W122" s="61"/>
      <c r="X122" s="56"/>
      <c r="Y122" s="45"/>
      <c r="Z122" s="55"/>
      <c r="AA122" s="55"/>
      <c r="AB122" s="55"/>
      <c r="AC122" s="55"/>
      <c r="AD122" s="282"/>
      <c r="AE122" s="282"/>
      <c r="AF122" s="282"/>
      <c r="AG122" s="282"/>
      <c r="AH122" s="282"/>
      <c r="AI122" s="282"/>
      <c r="AJ122" s="43"/>
      <c r="AK122" s="43"/>
      <c r="AL122" s="50"/>
      <c r="AM122" s="49"/>
      <c r="AN122" s="47"/>
      <c r="AO122" s="282"/>
      <c r="BT122" s="10"/>
      <c r="BU122" s="10"/>
      <c r="BV122" s="10"/>
      <c r="BW122" s="10"/>
      <c r="CT122" s="307"/>
      <c r="CU122" s="307"/>
      <c r="CV122" s="307"/>
      <c r="CW122" s="307"/>
      <c r="CX122" s="307"/>
      <c r="CY122" s="307"/>
      <c r="CZ122" s="307"/>
      <c r="DA122" s="307"/>
      <c r="DB122" s="307"/>
      <c r="DC122" s="307"/>
      <c r="DD122" s="307"/>
      <c r="DE122" s="307"/>
      <c r="DF122" s="307"/>
      <c r="DG122" s="307"/>
      <c r="DH122" s="307"/>
      <c r="DI122" s="307"/>
      <c r="DJ122" s="307"/>
      <c r="DK122" s="307"/>
      <c r="DN122" s="9"/>
      <c r="DO122" s="9"/>
      <c r="DP122" s="9"/>
      <c r="DQ122" s="9"/>
      <c r="DR122" s="9"/>
      <c r="DS122" s="9"/>
      <c r="EF122" s="307"/>
      <c r="EG122" s="307"/>
      <c r="EH122" s="307"/>
      <c r="EI122" s="307"/>
      <c r="EJ122" s="307"/>
      <c r="EK122" s="307"/>
    </row>
    <row r="123" spans="1:141" ht="15">
      <c r="A123" s="109"/>
      <c r="I123" s="107"/>
      <c r="J123" s="107"/>
      <c r="K123" s="10"/>
      <c r="M123" s="10"/>
      <c r="O123" s="10"/>
      <c r="P123" s="106"/>
      <c r="Q123" s="75"/>
      <c r="R123" s="64"/>
      <c r="S123" s="10"/>
      <c r="T123" s="10"/>
      <c r="W123" s="61"/>
      <c r="X123" s="56"/>
      <c r="Y123" s="45"/>
      <c r="Z123" s="55"/>
      <c r="AA123" s="55"/>
      <c r="AB123" s="55"/>
      <c r="AC123" s="55"/>
      <c r="AD123" s="282"/>
      <c r="AE123" s="282"/>
      <c r="AF123" s="282"/>
      <c r="AG123" s="282"/>
      <c r="AH123" s="282"/>
      <c r="AI123" s="282"/>
      <c r="AJ123" s="43"/>
      <c r="AK123" s="43"/>
      <c r="AL123" s="50"/>
      <c r="AM123" s="49"/>
      <c r="AN123" s="47"/>
      <c r="AO123" s="282"/>
      <c r="BT123" s="10"/>
      <c r="BU123" s="10"/>
      <c r="BV123" s="10"/>
      <c r="BW123" s="10"/>
      <c r="CT123" s="307"/>
      <c r="CU123" s="307"/>
      <c r="CV123" s="307"/>
      <c r="CW123" s="307"/>
      <c r="CX123" s="307"/>
      <c r="CY123" s="307"/>
      <c r="CZ123" s="307"/>
      <c r="DA123" s="307"/>
      <c r="DB123" s="307"/>
      <c r="DC123" s="307"/>
      <c r="DD123" s="307"/>
      <c r="DE123" s="307"/>
      <c r="DF123" s="307"/>
      <c r="DG123" s="307"/>
      <c r="DH123" s="307"/>
      <c r="DI123" s="307"/>
      <c r="DJ123" s="307"/>
      <c r="DK123" s="307"/>
      <c r="DN123" s="9"/>
      <c r="DO123" s="9"/>
      <c r="DP123" s="9"/>
      <c r="DQ123" s="9"/>
      <c r="DR123" s="9"/>
      <c r="DS123" s="9"/>
      <c r="EF123" s="307"/>
      <c r="EG123" s="307"/>
      <c r="EH123" s="307"/>
      <c r="EI123" s="307"/>
      <c r="EJ123" s="307"/>
      <c r="EK123" s="307"/>
    </row>
    <row r="124" spans="1:141" ht="14.25" customHeight="1">
      <c r="A124" s="403"/>
      <c r="I124" s="403"/>
      <c r="J124" s="403"/>
      <c r="K124" s="282"/>
      <c r="L124" s="282"/>
      <c r="M124" s="282"/>
      <c r="N124" s="282"/>
      <c r="O124" s="404"/>
      <c r="P124" s="106"/>
      <c r="Q124" s="75"/>
      <c r="R124" s="64"/>
      <c r="S124" s="10"/>
      <c r="T124" s="10"/>
      <c r="W124" s="61"/>
      <c r="X124" s="56"/>
      <c r="Y124" s="45"/>
      <c r="Z124" s="55"/>
      <c r="AA124" s="55"/>
      <c r="AB124" s="55"/>
      <c r="AC124" s="55"/>
      <c r="AD124" s="282"/>
      <c r="AE124" s="282"/>
      <c r="AF124" s="282"/>
      <c r="AG124" s="282"/>
      <c r="AH124" s="282"/>
      <c r="AI124" s="282"/>
      <c r="AJ124" s="43"/>
      <c r="AK124" s="43"/>
      <c r="AL124" s="50"/>
      <c r="AM124" s="49"/>
      <c r="AN124" s="47"/>
      <c r="AO124" s="282"/>
      <c r="BT124" s="10"/>
      <c r="BU124" s="10"/>
      <c r="BV124" s="10"/>
      <c r="BW124" s="10"/>
      <c r="CT124" s="307"/>
      <c r="CU124" s="307"/>
      <c r="CV124" s="307"/>
      <c r="CW124" s="307"/>
      <c r="CX124" s="307"/>
      <c r="CY124" s="307"/>
      <c r="CZ124" s="307"/>
      <c r="DA124" s="307"/>
      <c r="DB124" s="307"/>
      <c r="DC124" s="307"/>
      <c r="DD124" s="307"/>
      <c r="DE124" s="307"/>
      <c r="DF124" s="307"/>
      <c r="DG124" s="307"/>
      <c r="DH124" s="307"/>
      <c r="DI124" s="307"/>
      <c r="DJ124" s="307"/>
      <c r="DK124" s="307"/>
      <c r="DN124" s="9"/>
      <c r="DO124" s="9"/>
      <c r="DP124" s="9"/>
      <c r="DQ124" s="9"/>
      <c r="DR124" s="9"/>
      <c r="DS124" s="9"/>
      <c r="EF124" s="307"/>
      <c r="EG124" s="307"/>
      <c r="EH124" s="307"/>
      <c r="EI124" s="307"/>
      <c r="EJ124" s="307"/>
      <c r="EK124" s="307"/>
    </row>
    <row r="125" spans="1:141" ht="58.5" customHeight="1">
      <c r="A125" s="83"/>
      <c r="B125" s="403"/>
      <c r="C125" s="62"/>
      <c r="D125" s="282"/>
      <c r="E125" s="105"/>
      <c r="F125" s="104"/>
      <c r="G125" s="103"/>
      <c r="H125" s="102"/>
      <c r="I125" s="83"/>
      <c r="J125" s="403"/>
      <c r="K125" s="62"/>
      <c r="L125" s="282"/>
      <c r="M125" s="62"/>
      <c r="N125" s="282"/>
      <c r="O125" s="101"/>
      <c r="P125" s="10"/>
      <c r="Q125" s="75"/>
      <c r="R125" s="64"/>
      <c r="S125" s="10"/>
      <c r="T125" s="10"/>
      <c r="W125" s="61"/>
      <c r="X125" s="56"/>
      <c r="Y125" s="45"/>
      <c r="Z125" s="55"/>
      <c r="AA125" s="55"/>
      <c r="AB125" s="55"/>
      <c r="AC125" s="55"/>
      <c r="AD125" s="282"/>
      <c r="AE125" s="282"/>
      <c r="AF125" s="282"/>
      <c r="AG125" s="282"/>
      <c r="AH125" s="282"/>
      <c r="AI125" s="282"/>
      <c r="AJ125" s="43"/>
      <c r="AK125" s="43"/>
      <c r="AL125" s="50"/>
      <c r="AM125" s="49"/>
      <c r="AN125" s="47"/>
      <c r="AO125" s="43"/>
      <c r="BT125" s="10"/>
      <c r="BU125" s="10"/>
      <c r="BV125" s="10"/>
      <c r="BW125" s="10"/>
      <c r="CT125" s="307"/>
      <c r="CU125" s="307"/>
      <c r="CV125" s="307"/>
      <c r="CW125" s="307"/>
      <c r="CX125" s="307"/>
      <c r="CY125" s="307"/>
      <c r="CZ125" s="307"/>
      <c r="DA125" s="307"/>
      <c r="DB125" s="307"/>
      <c r="DC125" s="307"/>
      <c r="DD125" s="307"/>
      <c r="DE125" s="307"/>
      <c r="DF125" s="307"/>
      <c r="DG125" s="307"/>
      <c r="DH125" s="307"/>
      <c r="DI125" s="307"/>
      <c r="DJ125" s="307"/>
      <c r="DK125" s="307"/>
      <c r="DN125" s="9"/>
      <c r="DO125" s="9"/>
      <c r="DP125" s="9"/>
      <c r="DQ125" s="9"/>
      <c r="DR125" s="9"/>
      <c r="DS125" s="9"/>
      <c r="EF125" s="307"/>
      <c r="EG125" s="307"/>
      <c r="EH125" s="307"/>
      <c r="EI125" s="307"/>
      <c r="EJ125" s="307"/>
      <c r="EK125" s="307"/>
    </row>
    <row r="126" spans="1:141" ht="0.75" customHeight="1">
      <c r="A126" s="62"/>
      <c r="B126" s="282"/>
      <c r="C126" s="98"/>
      <c r="D126" s="38"/>
      <c r="E126" s="98"/>
      <c r="F126" s="38"/>
      <c r="G126" s="100"/>
      <c r="H126" s="33"/>
      <c r="I126" s="100"/>
      <c r="J126" s="33"/>
      <c r="K126" s="100"/>
      <c r="L126" s="33"/>
      <c r="M126" s="62"/>
      <c r="N126" s="282"/>
      <c r="O126" s="95"/>
      <c r="P126" s="404"/>
      <c r="Q126" s="75"/>
      <c r="R126" s="64"/>
      <c r="S126" s="73"/>
      <c r="T126" s="73"/>
      <c r="U126" s="33"/>
      <c r="W126" s="61"/>
      <c r="X126" s="56"/>
      <c r="Y126" s="45"/>
      <c r="Z126" s="55"/>
      <c r="AA126" s="55"/>
      <c r="AB126" s="55"/>
      <c r="AC126" s="55"/>
      <c r="AD126" s="282"/>
      <c r="AE126" s="282"/>
      <c r="AF126" s="282"/>
      <c r="AG126" s="282"/>
      <c r="AH126" s="282"/>
      <c r="AI126" s="282"/>
      <c r="AJ126" s="43"/>
      <c r="AK126" s="43"/>
      <c r="AL126" s="50"/>
      <c r="AM126" s="49"/>
      <c r="AN126" s="47"/>
      <c r="AO126" s="282"/>
      <c r="BT126" s="10"/>
      <c r="BU126" s="10"/>
      <c r="BV126" s="10"/>
      <c r="BW126" s="10"/>
      <c r="CT126" s="307"/>
      <c r="CU126" s="307"/>
      <c r="CV126" s="307"/>
      <c r="CW126" s="307"/>
      <c r="CX126" s="307"/>
      <c r="CY126" s="307"/>
      <c r="CZ126" s="307"/>
      <c r="DA126" s="307"/>
      <c r="DB126" s="307"/>
      <c r="DC126" s="307"/>
      <c r="DD126" s="307"/>
      <c r="DE126" s="307"/>
      <c r="DF126" s="307"/>
      <c r="DG126" s="307"/>
      <c r="DH126" s="307"/>
      <c r="DI126" s="307"/>
      <c r="DJ126" s="307"/>
      <c r="DK126" s="307"/>
      <c r="DN126" s="9"/>
      <c r="DO126" s="9"/>
      <c r="DP126" s="9"/>
      <c r="DQ126" s="9"/>
      <c r="DR126" s="9"/>
      <c r="DS126" s="9"/>
      <c r="EF126" s="307"/>
      <c r="EG126" s="307"/>
      <c r="EH126" s="307"/>
      <c r="EI126" s="307"/>
      <c r="EJ126" s="307"/>
      <c r="EK126" s="307"/>
    </row>
    <row r="127" spans="1:141" ht="62.25" customHeight="1">
      <c r="A127" s="62"/>
      <c r="B127" s="282"/>
      <c r="C127" s="98"/>
      <c r="D127" s="38"/>
      <c r="E127" s="98"/>
      <c r="F127" s="38"/>
      <c r="G127" s="97"/>
      <c r="H127" s="96"/>
      <c r="I127" s="62"/>
      <c r="J127" s="282"/>
      <c r="K127" s="62"/>
      <c r="L127" s="282"/>
      <c r="M127" s="62"/>
      <c r="N127" s="282"/>
      <c r="O127" s="95"/>
      <c r="P127" s="404"/>
      <c r="Q127" s="75"/>
      <c r="R127" s="64"/>
      <c r="S127" s="73"/>
      <c r="T127" s="73"/>
      <c r="U127" s="33"/>
      <c r="W127" s="61"/>
      <c r="X127" s="56"/>
      <c r="Y127" s="45"/>
      <c r="Z127" s="55"/>
      <c r="AA127" s="55"/>
      <c r="AB127" s="55"/>
      <c r="AC127" s="55"/>
      <c r="AD127" s="282"/>
      <c r="AE127" s="282"/>
      <c r="AF127" s="282"/>
      <c r="AG127" s="282"/>
      <c r="AH127" s="282"/>
      <c r="AI127" s="282"/>
      <c r="AJ127" s="43"/>
      <c r="AK127" s="43"/>
      <c r="AL127" s="50"/>
      <c r="AM127" s="49"/>
      <c r="AN127" s="47"/>
      <c r="AO127" s="282"/>
      <c r="BT127" s="10"/>
      <c r="BU127" s="10"/>
      <c r="BV127" s="10"/>
      <c r="BW127" s="10"/>
      <c r="CT127" s="307"/>
      <c r="CU127" s="307"/>
      <c r="CV127" s="307"/>
      <c r="CW127" s="307"/>
      <c r="CX127" s="307"/>
      <c r="CY127" s="307"/>
      <c r="CZ127" s="307"/>
      <c r="DA127" s="307"/>
      <c r="DB127" s="307"/>
      <c r="DC127" s="307"/>
      <c r="DD127" s="307"/>
      <c r="DE127" s="307"/>
      <c r="DF127" s="307"/>
      <c r="DG127" s="307"/>
      <c r="DH127" s="307"/>
      <c r="DI127" s="307"/>
      <c r="DJ127" s="307"/>
      <c r="DK127" s="307"/>
      <c r="DN127" s="9"/>
      <c r="DO127" s="9"/>
      <c r="DP127" s="9"/>
      <c r="DQ127" s="9"/>
      <c r="DR127" s="9"/>
      <c r="DS127" s="9"/>
      <c r="EF127" s="307"/>
      <c r="EG127" s="307"/>
      <c r="EH127" s="307"/>
      <c r="EI127" s="307"/>
      <c r="EJ127" s="307"/>
      <c r="EK127" s="307"/>
    </row>
    <row r="128" spans="1:141" ht="27.75" customHeight="1">
      <c r="A128" s="94"/>
      <c r="B128" s="93"/>
      <c r="C128" s="92"/>
      <c r="D128" s="91"/>
      <c r="E128" s="92"/>
      <c r="F128" s="91"/>
      <c r="G128" s="92"/>
      <c r="H128" s="91"/>
      <c r="I128" s="92"/>
      <c r="J128" s="91"/>
      <c r="K128" s="92"/>
      <c r="L128" s="91"/>
      <c r="M128" s="62"/>
      <c r="N128" s="282"/>
      <c r="O128" s="90"/>
      <c r="P128" s="87"/>
      <c r="Q128" s="75"/>
      <c r="R128" s="64"/>
      <c r="S128" s="10"/>
      <c r="T128" s="10"/>
      <c r="W128" s="57"/>
      <c r="X128" s="56"/>
      <c r="Y128" s="45"/>
      <c r="Z128" s="55"/>
      <c r="AA128" s="55"/>
      <c r="AB128" s="55"/>
      <c r="AC128" s="55"/>
      <c r="AD128" s="282"/>
      <c r="AE128" s="282"/>
      <c r="AF128" s="282"/>
      <c r="AG128" s="282"/>
      <c r="AH128" s="282"/>
      <c r="AI128" s="282"/>
      <c r="AJ128" s="43"/>
      <c r="AK128" s="43"/>
      <c r="AL128" s="50"/>
      <c r="AM128" s="49"/>
      <c r="AN128" s="47"/>
      <c r="AO128" s="282"/>
      <c r="BT128" s="10"/>
      <c r="BU128" s="10"/>
      <c r="BV128" s="10"/>
      <c r="BW128" s="10"/>
      <c r="CT128" s="307"/>
      <c r="CU128" s="307"/>
      <c r="CV128" s="307"/>
      <c r="CW128" s="307"/>
      <c r="CX128" s="307"/>
      <c r="CY128" s="307"/>
      <c r="CZ128" s="307"/>
      <c r="DA128" s="307"/>
      <c r="DB128" s="307"/>
      <c r="DC128" s="307"/>
      <c r="DD128" s="307"/>
      <c r="DE128" s="307"/>
      <c r="DF128" s="307"/>
      <c r="DG128" s="307"/>
      <c r="DH128" s="307"/>
      <c r="DI128" s="307"/>
      <c r="DJ128" s="307"/>
      <c r="DK128" s="307"/>
      <c r="DN128" s="9"/>
      <c r="DO128" s="9"/>
      <c r="DP128" s="9"/>
      <c r="DQ128" s="9"/>
      <c r="DR128" s="9"/>
      <c r="DS128" s="9"/>
      <c r="EF128" s="307"/>
      <c r="EG128" s="307"/>
      <c r="EH128" s="307"/>
      <c r="EI128" s="307"/>
      <c r="EJ128" s="307"/>
      <c r="EK128" s="307"/>
    </row>
    <row r="129" spans="1:141" ht="21" customHeight="1">
      <c r="A129" s="89"/>
      <c r="B129" s="88"/>
      <c r="C129" s="282"/>
      <c r="D129" s="282"/>
      <c r="E129" s="282"/>
      <c r="F129" s="282"/>
      <c r="G129" s="282"/>
      <c r="H129" s="282"/>
      <c r="I129" s="282"/>
      <c r="J129" s="282"/>
      <c r="K129" s="282"/>
      <c r="L129" s="282"/>
      <c r="M129" s="62"/>
      <c r="N129" s="282"/>
      <c r="O129" s="62"/>
      <c r="P129" s="87"/>
      <c r="Q129" s="72"/>
      <c r="R129" s="64"/>
      <c r="S129" s="10"/>
      <c r="T129" s="10"/>
      <c r="W129" s="57"/>
      <c r="X129" s="56"/>
      <c r="Y129" s="45"/>
      <c r="Z129" s="55"/>
      <c r="AA129" s="55"/>
      <c r="AB129" s="55"/>
      <c r="AC129" s="55"/>
      <c r="AD129" s="282"/>
      <c r="AE129" s="282"/>
      <c r="AF129" s="282"/>
      <c r="AG129" s="282"/>
      <c r="AH129" s="282"/>
      <c r="AI129" s="282"/>
      <c r="AJ129" s="43"/>
      <c r="AK129" s="43"/>
      <c r="AL129" s="50"/>
      <c r="AM129" s="49"/>
      <c r="AN129" s="47"/>
      <c r="AO129" s="43"/>
      <c r="BT129" s="10"/>
      <c r="BU129" s="10"/>
      <c r="BV129" s="10"/>
      <c r="BW129" s="10"/>
      <c r="CT129" s="307"/>
      <c r="CU129" s="307"/>
      <c r="CV129" s="307"/>
      <c r="CW129" s="307"/>
      <c r="CX129" s="307"/>
      <c r="CY129" s="307"/>
      <c r="CZ129" s="307"/>
      <c r="DA129" s="307"/>
      <c r="DB129" s="307"/>
      <c r="DC129" s="307"/>
      <c r="DD129" s="307"/>
      <c r="DE129" s="307"/>
      <c r="DF129" s="307"/>
      <c r="DG129" s="307"/>
      <c r="DH129" s="307"/>
      <c r="DI129" s="307"/>
      <c r="DJ129" s="307"/>
      <c r="DK129" s="307"/>
      <c r="DN129" s="9"/>
      <c r="DO129" s="9"/>
      <c r="DP129" s="9"/>
      <c r="DQ129" s="9"/>
      <c r="DR129" s="9"/>
      <c r="DS129" s="9"/>
      <c r="EF129" s="307"/>
      <c r="EG129" s="307"/>
      <c r="EH129" s="307"/>
      <c r="EI129" s="307"/>
      <c r="EJ129" s="307"/>
      <c r="EK129" s="307"/>
    </row>
    <row r="130" spans="1:141" ht="15">
      <c r="A130" s="68"/>
      <c r="B130" s="68"/>
      <c r="C130" s="282"/>
      <c r="D130" s="282"/>
      <c r="E130" s="282"/>
      <c r="F130" s="282"/>
      <c r="G130" s="282"/>
      <c r="H130" s="282"/>
      <c r="I130" s="282"/>
      <c r="J130" s="282"/>
      <c r="K130" s="282"/>
      <c r="L130" s="282"/>
      <c r="M130" s="86"/>
      <c r="N130" s="85"/>
      <c r="O130" s="62"/>
      <c r="P130" s="84"/>
      <c r="Q130" s="71"/>
      <c r="R130" s="64"/>
      <c r="S130" s="10"/>
      <c r="T130" s="10"/>
      <c r="W130" s="57"/>
      <c r="X130" s="56"/>
      <c r="Y130" s="45"/>
      <c r="Z130" s="55"/>
      <c r="AA130" s="55"/>
      <c r="AB130" s="55"/>
      <c r="AC130" s="55"/>
      <c r="AD130" s="282"/>
      <c r="AE130" s="282"/>
      <c r="AF130" s="282"/>
      <c r="AG130" s="282"/>
      <c r="AH130" s="282"/>
      <c r="AI130" s="282"/>
      <c r="AJ130" s="43"/>
      <c r="AK130" s="43"/>
      <c r="AL130" s="50"/>
      <c r="AM130" s="49"/>
      <c r="AN130" s="282"/>
      <c r="AO130" s="282"/>
      <c r="BT130" s="10"/>
      <c r="BU130" s="10"/>
      <c r="BV130" s="10"/>
      <c r="BW130" s="10"/>
      <c r="CT130" s="307"/>
      <c r="CU130" s="307"/>
      <c r="CV130" s="307"/>
      <c r="CW130" s="307"/>
      <c r="CX130" s="307"/>
      <c r="CY130" s="307"/>
      <c r="CZ130" s="307"/>
      <c r="DA130" s="307"/>
      <c r="DB130" s="307"/>
      <c r="DC130" s="307"/>
      <c r="DD130" s="307"/>
      <c r="DE130" s="307"/>
      <c r="DF130" s="307"/>
      <c r="DG130" s="307"/>
      <c r="DH130" s="307"/>
      <c r="DI130" s="307"/>
      <c r="DJ130" s="307"/>
      <c r="DK130" s="307"/>
      <c r="DN130" s="9"/>
      <c r="DO130" s="9"/>
      <c r="DP130" s="9"/>
      <c r="DQ130" s="9"/>
      <c r="DR130" s="9"/>
      <c r="DS130" s="9"/>
      <c r="EF130" s="307"/>
      <c r="EG130" s="307"/>
      <c r="EH130" s="307"/>
      <c r="EI130" s="307"/>
      <c r="EJ130" s="307"/>
      <c r="EK130" s="307"/>
    </row>
    <row r="131" spans="1:141" ht="15">
      <c r="A131" s="282"/>
      <c r="B131" s="282"/>
      <c r="C131" s="282"/>
      <c r="D131" s="282"/>
      <c r="E131" s="282"/>
      <c r="F131" s="282"/>
      <c r="G131" s="282"/>
      <c r="H131" s="282"/>
      <c r="I131" s="282"/>
      <c r="J131" s="282"/>
      <c r="K131" s="282"/>
      <c r="L131" s="282"/>
      <c r="M131" s="83"/>
      <c r="N131" s="403"/>
      <c r="O131" s="82"/>
      <c r="P131" s="282"/>
      <c r="Q131" s="9"/>
      <c r="R131" s="64"/>
      <c r="S131" s="10"/>
      <c r="T131" s="10"/>
      <c r="W131" s="45"/>
      <c r="X131" s="52"/>
      <c r="Y131" s="45"/>
      <c r="Z131" s="45"/>
      <c r="AA131" s="310"/>
      <c r="AC131" s="282"/>
      <c r="AD131" s="282"/>
      <c r="AE131" s="282"/>
      <c r="AF131" s="282"/>
      <c r="AG131" s="282"/>
      <c r="AH131" s="282"/>
      <c r="AI131" s="282"/>
      <c r="AJ131" s="43"/>
      <c r="AK131" s="43"/>
      <c r="AL131" s="50"/>
      <c r="AM131" s="49"/>
      <c r="AN131" s="282"/>
      <c r="AO131" s="282"/>
      <c r="BT131" s="10"/>
      <c r="BU131" s="10"/>
      <c r="BV131" s="10"/>
      <c r="BW131" s="10"/>
      <c r="CT131" s="307"/>
      <c r="CU131" s="307"/>
      <c r="CV131" s="307"/>
      <c r="CW131" s="307"/>
      <c r="CX131" s="307"/>
      <c r="CY131" s="307"/>
      <c r="CZ131" s="307"/>
      <c r="DA131" s="307"/>
      <c r="DB131" s="307"/>
      <c r="DC131" s="307"/>
      <c r="DD131" s="307"/>
      <c r="DE131" s="307"/>
      <c r="DF131" s="307"/>
      <c r="DG131" s="307"/>
      <c r="DH131" s="307"/>
      <c r="DI131" s="307"/>
      <c r="DJ131" s="307"/>
      <c r="DK131" s="307"/>
      <c r="DN131" s="9"/>
      <c r="DO131" s="9"/>
      <c r="DP131" s="9"/>
      <c r="DQ131" s="9"/>
      <c r="DR131" s="9"/>
      <c r="DS131" s="9"/>
      <c r="EF131" s="307"/>
      <c r="EG131" s="307"/>
      <c r="EH131" s="307"/>
      <c r="EI131" s="307"/>
      <c r="EJ131" s="307"/>
      <c r="EK131" s="307"/>
    </row>
    <row r="132" spans="1:141" ht="15">
      <c r="A132" s="282"/>
      <c r="B132" s="282"/>
      <c r="C132" s="282"/>
      <c r="D132" s="282"/>
      <c r="E132" s="282"/>
      <c r="F132" s="282"/>
      <c r="G132" s="282"/>
      <c r="H132" s="282"/>
      <c r="I132" s="282"/>
      <c r="J132" s="282"/>
      <c r="K132" s="282"/>
      <c r="L132" s="282"/>
      <c r="M132" s="62"/>
      <c r="N132" s="282"/>
      <c r="O132" s="81"/>
      <c r="P132" s="282"/>
      <c r="Q132" s="9"/>
      <c r="R132" s="64"/>
      <c r="S132" s="10"/>
      <c r="T132" s="10"/>
      <c r="W132" s="45"/>
      <c r="X132" s="52"/>
      <c r="Y132" s="3"/>
      <c r="Z132" s="3"/>
      <c r="AA132" s="310"/>
      <c r="AC132" s="282"/>
      <c r="AD132" s="282"/>
      <c r="AE132" s="282"/>
      <c r="AF132" s="282"/>
      <c r="AG132" s="282"/>
      <c r="AH132" s="282"/>
      <c r="AI132" s="282"/>
      <c r="AJ132" s="43"/>
      <c r="AK132" s="43"/>
      <c r="AL132" s="50"/>
      <c r="AM132" s="49"/>
      <c r="AN132" s="282"/>
      <c r="AO132" s="282"/>
      <c r="BT132" s="10"/>
      <c r="BU132" s="10"/>
      <c r="BV132" s="10"/>
      <c r="BW132" s="10"/>
      <c r="CT132" s="307"/>
      <c r="CU132" s="307"/>
      <c r="CV132" s="307"/>
      <c r="CW132" s="307"/>
      <c r="CX132" s="307"/>
      <c r="CY132" s="307"/>
      <c r="CZ132" s="307"/>
      <c r="DA132" s="307"/>
      <c r="DB132" s="307"/>
      <c r="DC132" s="307"/>
      <c r="DD132" s="307"/>
      <c r="DE132" s="307"/>
      <c r="DF132" s="307"/>
      <c r="DG132" s="307"/>
      <c r="DH132" s="307"/>
      <c r="DI132" s="307"/>
      <c r="DJ132" s="307"/>
      <c r="DK132" s="307"/>
      <c r="DN132" s="9"/>
      <c r="DO132" s="9"/>
      <c r="DP132" s="9"/>
      <c r="DQ132" s="9"/>
      <c r="DR132" s="9"/>
      <c r="DS132" s="9"/>
      <c r="EF132" s="307"/>
      <c r="EG132" s="307"/>
      <c r="EH132" s="307"/>
      <c r="EI132" s="307"/>
      <c r="EJ132" s="307"/>
      <c r="EK132" s="307"/>
    </row>
    <row r="133" spans="1:141" ht="15">
      <c r="A133" s="282"/>
      <c r="B133" s="282"/>
      <c r="C133" s="282"/>
      <c r="D133" s="282"/>
      <c r="E133" s="282"/>
      <c r="F133" s="282"/>
      <c r="G133" s="282"/>
      <c r="H133" s="282"/>
      <c r="I133" s="282"/>
      <c r="J133" s="282"/>
      <c r="K133" s="282"/>
      <c r="L133" s="282"/>
      <c r="M133" s="80"/>
      <c r="N133" s="79"/>
      <c r="O133" s="78"/>
      <c r="P133" s="77"/>
      <c r="Q133" s="9"/>
      <c r="R133" s="64"/>
      <c r="T133" s="307"/>
      <c r="X133" s="52"/>
      <c r="Y133" s="51"/>
      <c r="Z133" s="51"/>
      <c r="AA133" s="310"/>
      <c r="AC133" s="282"/>
      <c r="AD133" s="282"/>
      <c r="AE133" s="282"/>
      <c r="AF133" s="282"/>
      <c r="AG133" s="282"/>
      <c r="AH133" s="282"/>
      <c r="AI133" s="282"/>
      <c r="AJ133" s="43"/>
      <c r="AK133" s="43"/>
      <c r="AL133" s="50"/>
      <c r="AM133" s="49"/>
      <c r="AN133" s="47"/>
      <c r="AO133" s="43"/>
      <c r="BT133" s="10"/>
      <c r="BU133" s="10"/>
      <c r="BV133" s="10"/>
      <c r="BW133" s="10"/>
      <c r="CT133" s="307"/>
      <c r="CU133" s="307"/>
      <c r="CV133" s="307"/>
      <c r="CW133" s="307"/>
      <c r="CX133" s="307"/>
      <c r="CY133" s="307"/>
      <c r="CZ133" s="307"/>
      <c r="DA133" s="307"/>
      <c r="DB133" s="307"/>
      <c r="DC133" s="307"/>
      <c r="DD133" s="307"/>
      <c r="DE133" s="307"/>
      <c r="DF133" s="307"/>
      <c r="DG133" s="307"/>
      <c r="DH133" s="307"/>
      <c r="DI133" s="307"/>
      <c r="DJ133" s="307"/>
      <c r="DK133" s="307"/>
      <c r="DN133" s="9"/>
      <c r="DO133" s="9"/>
      <c r="DP133" s="9"/>
      <c r="DQ133" s="9"/>
      <c r="DR133" s="9"/>
      <c r="DS133" s="9"/>
      <c r="EF133" s="307"/>
      <c r="EG133" s="307"/>
      <c r="EH133" s="307"/>
      <c r="EI133" s="307"/>
      <c r="EJ133" s="307"/>
      <c r="EK133" s="307"/>
    </row>
    <row r="134" spans="1:141" ht="15">
      <c r="A134" s="282"/>
      <c r="B134" s="282"/>
      <c r="C134" s="282"/>
      <c r="D134" s="282"/>
      <c r="E134" s="282"/>
      <c r="F134" s="282"/>
      <c r="G134" s="282"/>
      <c r="H134" s="282"/>
      <c r="I134" s="282"/>
      <c r="J134" s="282"/>
      <c r="K134" s="282"/>
      <c r="L134" s="282"/>
      <c r="M134" s="62"/>
      <c r="N134" s="282"/>
      <c r="O134" s="282"/>
      <c r="P134" s="68"/>
      <c r="Q134" s="9"/>
      <c r="R134" s="64"/>
      <c r="T134" s="307"/>
      <c r="W134" s="45"/>
      <c r="X134" s="45"/>
      <c r="Y134" s="48"/>
      <c r="Z134" s="43"/>
      <c r="AA134" s="310"/>
      <c r="AC134" s="282"/>
      <c r="AD134" s="282"/>
      <c r="AE134" s="282"/>
      <c r="AF134" s="282"/>
      <c r="AG134" s="282"/>
      <c r="AH134" s="282"/>
      <c r="AM134" s="286"/>
      <c r="BT134" s="10"/>
      <c r="BU134" s="10"/>
      <c r="BV134" s="10"/>
      <c r="BW134" s="10"/>
      <c r="CT134" s="307"/>
      <c r="CU134" s="307"/>
      <c r="CV134" s="307"/>
      <c r="CW134" s="307"/>
      <c r="CX134" s="307"/>
      <c r="CY134" s="307"/>
      <c r="CZ134" s="307"/>
      <c r="DA134" s="307"/>
      <c r="DB134" s="307"/>
      <c r="DC134" s="307"/>
      <c r="DD134" s="307"/>
      <c r="DE134" s="307"/>
      <c r="DF134" s="307"/>
      <c r="DG134" s="307"/>
      <c r="DH134" s="307"/>
      <c r="DI134" s="307"/>
      <c r="DJ134" s="307"/>
      <c r="DK134" s="307"/>
      <c r="DN134" s="9"/>
      <c r="DO134" s="9"/>
      <c r="DP134" s="9"/>
      <c r="DQ134" s="9"/>
      <c r="DR134" s="9"/>
      <c r="DS134" s="9"/>
      <c r="EF134" s="307"/>
      <c r="EG134" s="307"/>
      <c r="EH134" s="307"/>
      <c r="EI134" s="307"/>
      <c r="EJ134" s="307"/>
      <c r="EK134" s="307"/>
    </row>
    <row r="135" spans="1:141" ht="15">
      <c r="A135" s="282"/>
      <c r="B135" s="282"/>
      <c r="C135" s="282"/>
      <c r="D135" s="282"/>
      <c r="E135" s="282"/>
      <c r="F135" s="282"/>
      <c r="G135" s="282"/>
      <c r="H135" s="282"/>
      <c r="I135" s="282"/>
      <c r="J135" s="282"/>
      <c r="K135" s="282"/>
      <c r="L135" s="282"/>
      <c r="M135" s="68"/>
      <c r="N135" s="68"/>
      <c r="O135" s="282"/>
      <c r="P135" s="76"/>
      <c r="Q135" s="9"/>
      <c r="R135" s="64"/>
      <c r="T135" s="307"/>
      <c r="W135" s="45"/>
      <c r="X135" s="45"/>
      <c r="Y135" s="44"/>
      <c r="Z135" s="44"/>
      <c r="AA135" s="310"/>
      <c r="AC135" s="282"/>
      <c r="AD135" s="282"/>
      <c r="AE135" s="282"/>
      <c r="AF135" s="282"/>
      <c r="AG135" s="282"/>
      <c r="AH135" s="282"/>
      <c r="AM135" s="286"/>
      <c r="BT135" s="10"/>
      <c r="BU135" s="10"/>
      <c r="BV135" s="10"/>
      <c r="BW135" s="10"/>
      <c r="CT135" s="307"/>
      <c r="CU135" s="307"/>
      <c r="CV135" s="307"/>
      <c r="CW135" s="307"/>
      <c r="CX135" s="307"/>
      <c r="CY135" s="307"/>
      <c r="CZ135" s="307"/>
      <c r="DA135" s="307"/>
      <c r="DB135" s="307"/>
      <c r="DC135" s="307"/>
      <c r="DD135" s="307"/>
      <c r="DE135" s="307"/>
      <c r="DF135" s="307"/>
      <c r="DG135" s="307"/>
      <c r="DH135" s="307"/>
      <c r="DI135" s="307"/>
      <c r="DJ135" s="307"/>
      <c r="DK135" s="307"/>
      <c r="DN135" s="9"/>
      <c r="DO135" s="9"/>
      <c r="DP135" s="9"/>
      <c r="DQ135" s="9"/>
      <c r="DR135" s="9"/>
      <c r="DS135" s="9"/>
      <c r="EF135" s="307"/>
      <c r="EG135" s="307"/>
      <c r="EH135" s="307"/>
      <c r="EI135" s="307"/>
      <c r="EJ135" s="307"/>
      <c r="EK135" s="307"/>
    </row>
    <row r="136" spans="1:141" ht="15" customHeight="1">
      <c r="A136" s="282"/>
      <c r="B136" s="282"/>
      <c r="C136" s="282"/>
      <c r="D136" s="282"/>
      <c r="E136" s="66"/>
      <c r="F136" s="66"/>
      <c r="G136" s="282"/>
      <c r="H136" s="282"/>
      <c r="I136" s="282"/>
      <c r="J136" s="282"/>
      <c r="K136" s="282"/>
      <c r="L136" s="282"/>
      <c r="M136" s="282"/>
      <c r="N136" s="282"/>
      <c r="O136" s="282"/>
      <c r="P136" s="282"/>
      <c r="Q136" s="9"/>
      <c r="R136" s="64"/>
      <c r="T136" s="307"/>
      <c r="X136" s="312"/>
      <c r="Y136" s="43"/>
      <c r="Z136" s="43"/>
      <c r="AA136" s="310"/>
      <c r="AC136" s="282"/>
      <c r="AD136" s="282"/>
      <c r="AE136" s="282"/>
      <c r="AF136" s="282"/>
      <c r="AG136" s="282"/>
      <c r="AH136" s="282"/>
      <c r="AM136" s="286"/>
      <c r="BT136" s="10"/>
      <c r="BU136" s="10"/>
      <c r="BV136" s="10"/>
      <c r="BW136" s="10"/>
      <c r="CT136" s="307"/>
      <c r="CU136" s="307"/>
      <c r="CV136" s="307"/>
      <c r="CW136" s="307"/>
      <c r="CX136" s="307"/>
      <c r="CY136" s="307"/>
      <c r="CZ136" s="307"/>
      <c r="DA136" s="307"/>
      <c r="DB136" s="307"/>
      <c r="DC136" s="307"/>
      <c r="DD136" s="307"/>
      <c r="DE136" s="307"/>
      <c r="DF136" s="307"/>
      <c r="DG136" s="307"/>
      <c r="DH136" s="307"/>
      <c r="DI136" s="307"/>
      <c r="DJ136" s="307"/>
      <c r="DK136" s="307"/>
      <c r="DN136" s="9"/>
      <c r="DO136" s="9"/>
      <c r="DP136" s="9"/>
      <c r="DQ136" s="9"/>
      <c r="DR136" s="9"/>
      <c r="DS136" s="9"/>
      <c r="EF136" s="307"/>
      <c r="EG136" s="307"/>
      <c r="EH136" s="307"/>
      <c r="EI136" s="307"/>
      <c r="EJ136" s="307"/>
      <c r="EK136" s="307"/>
    </row>
    <row r="137" spans="1:141">
      <c r="A137" s="282"/>
      <c r="B137" s="282"/>
      <c r="C137" s="62"/>
      <c r="D137" s="282"/>
      <c r="E137" s="62"/>
      <c r="F137" s="282"/>
      <c r="G137" s="62"/>
      <c r="H137" s="282"/>
      <c r="I137" s="62"/>
      <c r="J137" s="282"/>
      <c r="K137" s="62"/>
      <c r="L137" s="282"/>
      <c r="M137" s="282"/>
      <c r="N137" s="282"/>
      <c r="O137" s="282"/>
      <c r="P137" s="282"/>
      <c r="Q137" s="9"/>
      <c r="R137" s="64"/>
      <c r="T137" s="307"/>
      <c r="Z137" s="282"/>
      <c r="AA137" s="310"/>
      <c r="AC137" s="282"/>
      <c r="AE137" s="282"/>
      <c r="AF137" s="282"/>
      <c r="AG137" s="282"/>
      <c r="AM137" s="286"/>
      <c r="BT137" s="10"/>
      <c r="BU137" s="10"/>
      <c r="BV137" s="10"/>
      <c r="BW137" s="10"/>
      <c r="CT137" s="307"/>
      <c r="CU137" s="307"/>
      <c r="CV137" s="307"/>
      <c r="CW137" s="307"/>
      <c r="CX137" s="307"/>
      <c r="CY137" s="307"/>
      <c r="CZ137" s="307"/>
      <c r="DA137" s="307"/>
      <c r="DB137" s="307"/>
      <c r="DC137" s="307"/>
      <c r="DD137" s="307"/>
      <c r="DE137" s="307"/>
      <c r="DF137" s="307"/>
      <c r="DG137" s="307"/>
      <c r="DH137" s="307"/>
      <c r="DI137" s="307"/>
      <c r="DJ137" s="307"/>
      <c r="DK137" s="307"/>
      <c r="DN137" s="9"/>
      <c r="DO137" s="9"/>
      <c r="DP137" s="9"/>
      <c r="DQ137" s="9"/>
      <c r="DR137" s="9"/>
      <c r="DS137" s="9"/>
      <c r="EF137" s="307"/>
      <c r="EG137" s="307"/>
      <c r="EH137" s="307"/>
      <c r="EI137" s="307"/>
      <c r="EJ137" s="307"/>
      <c r="EK137" s="307"/>
    </row>
    <row r="138" spans="1:141">
      <c r="A138" s="62"/>
      <c r="B138" s="282"/>
      <c r="C138" s="62"/>
      <c r="D138" s="282"/>
      <c r="E138" s="62"/>
      <c r="F138" s="282"/>
      <c r="G138" s="62"/>
      <c r="H138" s="282"/>
      <c r="I138" s="62"/>
      <c r="J138" s="282"/>
      <c r="K138" s="62"/>
      <c r="L138" s="282"/>
      <c r="M138" s="282"/>
      <c r="N138" s="282"/>
      <c r="O138" s="282"/>
      <c r="P138" s="282"/>
      <c r="Q138" s="9"/>
      <c r="R138" s="64"/>
      <c r="T138" s="307"/>
      <c r="X138" s="38"/>
      <c r="Y138" s="37"/>
      <c r="Z138" s="37"/>
      <c r="AA138" s="310"/>
      <c r="AC138" s="282"/>
      <c r="AM138" s="286"/>
      <c r="BT138" s="10"/>
      <c r="BU138" s="10"/>
      <c r="BV138" s="10"/>
      <c r="BW138" s="10"/>
      <c r="CT138" s="307"/>
      <c r="CU138" s="307"/>
      <c r="CV138" s="307"/>
      <c r="CW138" s="307"/>
      <c r="CX138" s="307"/>
      <c r="CY138" s="307"/>
      <c r="CZ138" s="307"/>
      <c r="DA138" s="307"/>
      <c r="DB138" s="307"/>
      <c r="DC138" s="307"/>
      <c r="DD138" s="307"/>
      <c r="DE138" s="307"/>
      <c r="DF138" s="307"/>
      <c r="DG138" s="307"/>
      <c r="DH138" s="307"/>
      <c r="DI138" s="307"/>
      <c r="DJ138" s="307"/>
      <c r="DK138" s="307"/>
      <c r="DN138" s="9"/>
      <c r="DO138" s="9"/>
      <c r="DP138" s="9"/>
      <c r="DQ138" s="9"/>
      <c r="DR138" s="9"/>
      <c r="DS138" s="9"/>
      <c r="EF138" s="307"/>
      <c r="EG138" s="307"/>
      <c r="EH138" s="307"/>
      <c r="EI138" s="307"/>
      <c r="EJ138" s="307"/>
      <c r="EK138" s="307"/>
    </row>
    <row r="139" spans="1:141" ht="185.25" customHeight="1">
      <c r="A139" s="62"/>
      <c r="B139" s="282"/>
      <c r="C139" s="62"/>
      <c r="D139" s="282"/>
      <c r="E139" s="62"/>
      <c r="F139" s="282"/>
      <c r="G139" s="62"/>
      <c r="H139" s="282"/>
      <c r="I139" s="62"/>
      <c r="J139" s="282"/>
      <c r="K139" s="62"/>
      <c r="L139" s="282"/>
      <c r="M139" s="282"/>
      <c r="N139" s="282"/>
      <c r="O139" s="282"/>
      <c r="P139" s="282"/>
      <c r="Q139" s="9"/>
      <c r="T139" s="307"/>
      <c r="W139" s="33"/>
      <c r="X139" s="33"/>
      <c r="Y139" s="33"/>
      <c r="Z139" s="33"/>
      <c r="AA139" s="310"/>
      <c r="AC139" s="282"/>
      <c r="AM139" s="286"/>
      <c r="BT139" s="10"/>
      <c r="BU139" s="10"/>
      <c r="BV139" s="10"/>
      <c r="BW139" s="10"/>
      <c r="CT139" s="307"/>
      <c r="CU139" s="307"/>
      <c r="CV139" s="307"/>
      <c r="CW139" s="307"/>
      <c r="CX139" s="307"/>
      <c r="CY139" s="307"/>
      <c r="CZ139" s="307"/>
      <c r="DA139" s="307"/>
      <c r="DB139" s="307"/>
      <c r="DC139" s="307"/>
      <c r="DD139" s="307"/>
      <c r="DE139" s="307"/>
      <c r="DF139" s="307"/>
      <c r="DG139" s="307"/>
      <c r="DH139" s="307"/>
      <c r="DI139" s="307"/>
      <c r="DJ139" s="307"/>
      <c r="DK139" s="307"/>
      <c r="DN139" s="9"/>
      <c r="DO139" s="9"/>
      <c r="DP139" s="9"/>
      <c r="DQ139" s="9"/>
      <c r="DR139" s="9"/>
      <c r="DS139" s="9"/>
      <c r="EF139" s="307"/>
      <c r="EG139" s="307"/>
      <c r="EH139" s="307"/>
      <c r="EI139" s="307"/>
      <c r="EJ139" s="307"/>
      <c r="EK139" s="307"/>
    </row>
    <row r="140" spans="1:141" ht="32.25" customHeight="1">
      <c r="A140" s="758" t="s">
        <v>31</v>
      </c>
      <c r="B140" s="758"/>
      <c r="C140" s="759"/>
      <c r="D140" s="759"/>
      <c r="E140" s="759"/>
      <c r="F140" s="759"/>
      <c r="G140" s="759"/>
      <c r="H140" s="759"/>
      <c r="I140" s="759"/>
      <c r="J140" s="759"/>
      <c r="K140" s="759"/>
      <c r="L140" s="759"/>
      <c r="M140" s="759"/>
      <c r="N140" s="282"/>
      <c r="O140" s="744" t="s">
        <v>584</v>
      </c>
      <c r="P140" s="744"/>
      <c r="Q140" s="744"/>
      <c r="T140" s="307"/>
      <c r="Z140" s="282"/>
      <c r="AA140" s="310"/>
      <c r="AC140" s="282"/>
      <c r="AM140" s="286"/>
      <c r="BT140" s="10"/>
      <c r="BU140" s="10"/>
      <c r="BV140" s="10"/>
      <c r="BW140" s="10"/>
      <c r="CT140" s="307"/>
      <c r="CU140" s="307"/>
      <c r="CV140" s="307"/>
      <c r="CW140" s="307"/>
      <c r="CX140" s="307"/>
      <c r="CY140" s="307"/>
      <c r="CZ140" s="307"/>
      <c r="DA140" s="307"/>
      <c r="DB140" s="307"/>
      <c r="DC140" s="307"/>
      <c r="DD140" s="307"/>
      <c r="DE140" s="307"/>
      <c r="DF140" s="307"/>
      <c r="DG140" s="307"/>
      <c r="DH140" s="307"/>
      <c r="DI140" s="307"/>
      <c r="DJ140" s="307"/>
      <c r="DK140" s="307"/>
      <c r="DN140" s="9"/>
      <c r="DO140" s="9"/>
      <c r="DP140" s="9"/>
      <c r="DQ140" s="9"/>
      <c r="DR140" s="9"/>
      <c r="DS140" s="9"/>
      <c r="EF140" s="307"/>
      <c r="EG140" s="307"/>
      <c r="EH140" s="307"/>
      <c r="EI140" s="307"/>
      <c r="EJ140" s="307"/>
      <c r="EK140" s="307"/>
    </row>
    <row r="141" spans="1:141" ht="45" customHeight="1">
      <c r="A141" s="759"/>
      <c r="B141" s="759"/>
      <c r="C141" s="759"/>
      <c r="D141" s="759"/>
      <c r="E141" s="759"/>
      <c r="F141" s="759"/>
      <c r="G141" s="759"/>
      <c r="H141" s="759"/>
      <c r="I141" s="759"/>
      <c r="J141" s="759"/>
      <c r="K141" s="759"/>
      <c r="L141" s="759"/>
      <c r="M141" s="759"/>
      <c r="N141" s="68"/>
      <c r="O141" s="66"/>
      <c r="P141" s="282"/>
      <c r="T141" s="307"/>
      <c r="Z141" s="282"/>
      <c r="AA141" s="310"/>
      <c r="AC141" s="282"/>
      <c r="AO141" s="289"/>
      <c r="BT141" s="10"/>
      <c r="BU141" s="10"/>
      <c r="BV141" s="10"/>
      <c r="BW141" s="10"/>
      <c r="CT141" s="307"/>
      <c r="CU141" s="307"/>
      <c r="CV141" s="307"/>
      <c r="CW141" s="307"/>
      <c r="CX141" s="307"/>
      <c r="CY141" s="307"/>
      <c r="CZ141" s="307"/>
      <c r="DA141" s="307"/>
      <c r="DB141" s="307"/>
      <c r="DC141" s="307"/>
      <c r="DD141" s="307"/>
      <c r="DE141" s="307"/>
      <c r="DF141" s="307"/>
      <c r="DG141" s="307"/>
      <c r="DH141" s="307"/>
      <c r="DI141" s="307"/>
      <c r="DJ141" s="307"/>
      <c r="DK141" s="307"/>
      <c r="DN141" s="9"/>
      <c r="DO141" s="9"/>
      <c r="DP141" s="9"/>
      <c r="DQ141" s="9"/>
      <c r="DR141" s="9"/>
      <c r="DS141" s="9"/>
      <c r="EF141" s="307"/>
      <c r="EG141" s="307"/>
      <c r="EH141" s="307"/>
      <c r="EI141" s="307"/>
      <c r="EJ141" s="307"/>
      <c r="EK141" s="307"/>
    </row>
    <row r="142" spans="1:141">
      <c r="A142" s="62"/>
      <c r="B142" s="282"/>
      <c r="C142" s="62"/>
      <c r="D142" s="282"/>
      <c r="E142" s="62"/>
      <c r="F142" s="282"/>
      <c r="G142" s="62"/>
      <c r="H142" s="282"/>
      <c r="I142" s="62"/>
      <c r="J142" s="282"/>
      <c r="K142" s="62"/>
      <c r="L142" s="282"/>
      <c r="M142" s="282"/>
      <c r="N142" s="282"/>
      <c r="O142" s="62"/>
      <c r="P142" s="282"/>
      <c r="Q142" s="9"/>
      <c r="T142" s="307"/>
      <c r="Z142" s="282"/>
      <c r="AA142" s="310"/>
      <c r="AC142" s="282"/>
      <c r="AM142" s="286"/>
      <c r="AO142" s="294"/>
      <c r="BT142" s="10"/>
      <c r="BU142" s="10"/>
      <c r="BV142" s="10"/>
      <c r="BW142" s="10"/>
      <c r="CT142" s="307"/>
      <c r="CU142" s="307"/>
      <c r="CV142" s="307"/>
      <c r="CW142" s="307"/>
      <c r="CX142" s="307"/>
      <c r="CY142" s="307"/>
      <c r="CZ142" s="307"/>
      <c r="DA142" s="307"/>
      <c r="DB142" s="307"/>
      <c r="DC142" s="307"/>
      <c r="DD142" s="307"/>
      <c r="DE142" s="307"/>
      <c r="DF142" s="307"/>
      <c r="DG142" s="307"/>
      <c r="DH142" s="307"/>
      <c r="DI142" s="307"/>
      <c r="DJ142" s="307"/>
      <c r="DK142" s="307"/>
      <c r="DN142" s="9"/>
      <c r="DO142" s="9"/>
      <c r="DP142" s="9"/>
      <c r="DQ142" s="9"/>
      <c r="DR142" s="9"/>
      <c r="DS142" s="9"/>
      <c r="EF142" s="307"/>
      <c r="EG142" s="307"/>
      <c r="EH142" s="307"/>
      <c r="EI142" s="307"/>
      <c r="EJ142" s="307"/>
      <c r="EK142" s="307"/>
    </row>
    <row r="143" spans="1:141">
      <c r="A143" s="62"/>
      <c r="B143" s="282"/>
      <c r="C143" s="62"/>
      <c r="D143" s="282"/>
      <c r="E143" s="62"/>
      <c r="F143" s="282"/>
      <c r="G143" s="62"/>
      <c r="H143" s="282"/>
      <c r="I143" s="62"/>
      <c r="J143" s="282"/>
      <c r="K143" s="62"/>
      <c r="L143" s="282"/>
      <c r="M143" s="62"/>
      <c r="N143" s="282"/>
      <c r="O143" s="62"/>
      <c r="P143" s="66"/>
      <c r="Q143" s="9"/>
      <c r="T143" s="307"/>
      <c r="Z143" s="282"/>
      <c r="AA143" s="310"/>
      <c r="AC143" s="282"/>
      <c r="AM143" s="286"/>
      <c r="AO143" s="294"/>
      <c r="BT143" s="10"/>
      <c r="BU143" s="10"/>
      <c r="BV143" s="10"/>
      <c r="BW143" s="10"/>
      <c r="CT143" s="307"/>
      <c r="CU143" s="307"/>
      <c r="CV143" s="307"/>
      <c r="CW143" s="307"/>
      <c r="CX143" s="307"/>
      <c r="CY143" s="307"/>
      <c r="CZ143" s="307"/>
      <c r="DA143" s="307"/>
      <c r="DB143" s="307"/>
      <c r="DC143" s="307"/>
      <c r="DD143" s="307"/>
      <c r="DE143" s="307"/>
      <c r="DF143" s="307"/>
      <c r="DG143" s="307"/>
      <c r="DH143" s="307"/>
      <c r="DI143" s="307"/>
      <c r="DJ143" s="307"/>
      <c r="DK143" s="307"/>
      <c r="DN143" s="9"/>
      <c r="DO143" s="9"/>
      <c r="DP143" s="9"/>
      <c r="DQ143" s="9"/>
      <c r="DR143" s="9"/>
      <c r="DS143" s="9"/>
      <c r="EF143" s="307"/>
      <c r="EG143" s="307"/>
      <c r="EH143" s="307"/>
      <c r="EI143" s="307"/>
      <c r="EJ143" s="307"/>
      <c r="EK143" s="307"/>
    </row>
    <row r="144" spans="1:141">
      <c r="A144" s="62"/>
      <c r="B144" s="282"/>
      <c r="C144" s="62"/>
      <c r="D144" s="282"/>
      <c r="E144" s="62"/>
      <c r="F144" s="282"/>
      <c r="G144" s="62"/>
      <c r="H144" s="282"/>
      <c r="I144" s="62"/>
      <c r="J144" s="282"/>
      <c r="K144" s="62"/>
      <c r="L144" s="282"/>
      <c r="M144" s="62"/>
      <c r="N144" s="282"/>
      <c r="O144" s="62"/>
      <c r="P144" s="282"/>
      <c r="Q144" s="9"/>
      <c r="T144" s="307"/>
      <c r="Z144" s="282"/>
      <c r="AA144" s="310"/>
      <c r="AC144" s="282"/>
      <c r="AM144" s="286"/>
      <c r="AO144" s="294"/>
      <c r="BT144" s="10"/>
      <c r="BU144" s="10"/>
      <c r="BV144" s="10"/>
      <c r="BW144" s="10"/>
      <c r="CT144" s="307"/>
      <c r="CU144" s="307"/>
      <c r="CV144" s="307"/>
      <c r="CW144" s="307"/>
      <c r="CX144" s="307"/>
      <c r="CY144" s="307"/>
      <c r="CZ144" s="307"/>
      <c r="DA144" s="307"/>
      <c r="DB144" s="307"/>
      <c r="DC144" s="307"/>
      <c r="DD144" s="307"/>
      <c r="DE144" s="307"/>
      <c r="DF144" s="307"/>
      <c r="DG144" s="307"/>
      <c r="DH144" s="307"/>
      <c r="DI144" s="307"/>
      <c r="DJ144" s="307"/>
      <c r="DK144" s="307"/>
      <c r="DN144" s="9"/>
      <c r="DO144" s="9"/>
      <c r="DP144" s="9"/>
      <c r="DQ144" s="9"/>
      <c r="DR144" s="9"/>
      <c r="DS144" s="9"/>
      <c r="EF144" s="307"/>
      <c r="EG144" s="307"/>
      <c r="EH144" s="307"/>
      <c r="EI144" s="307"/>
      <c r="EJ144" s="307"/>
      <c r="EK144" s="307"/>
    </row>
    <row r="145" spans="1:141">
      <c r="A145" s="62"/>
      <c r="B145" s="282"/>
      <c r="C145" s="62"/>
      <c r="D145" s="282"/>
      <c r="E145" s="62"/>
      <c r="F145" s="282"/>
      <c r="G145" s="62"/>
      <c r="H145" s="282"/>
      <c r="I145" s="62"/>
      <c r="J145" s="282"/>
      <c r="K145" s="62"/>
      <c r="L145" s="282"/>
      <c r="M145" s="62"/>
      <c r="N145" s="282"/>
      <c r="O145" s="62"/>
      <c r="P145" s="282"/>
      <c r="Q145" s="9"/>
      <c r="T145" s="307"/>
      <c r="Z145" s="282"/>
      <c r="AA145" s="310"/>
      <c r="AC145" s="282"/>
      <c r="AM145" s="286"/>
      <c r="AO145" s="294"/>
      <c r="BT145" s="10"/>
      <c r="BU145" s="10"/>
      <c r="BV145" s="10"/>
      <c r="BW145" s="10"/>
      <c r="CT145" s="307"/>
      <c r="CU145" s="307"/>
      <c r="CV145" s="307"/>
      <c r="CW145" s="307"/>
      <c r="CX145" s="307"/>
      <c r="CY145" s="307"/>
      <c r="CZ145" s="307"/>
      <c r="DA145" s="307"/>
      <c r="DB145" s="307"/>
      <c r="DC145" s="307"/>
      <c r="DD145" s="307"/>
      <c r="DE145" s="307"/>
      <c r="DF145" s="307"/>
      <c r="DG145" s="307"/>
      <c r="DH145" s="307"/>
      <c r="DI145" s="307"/>
      <c r="DJ145" s="307"/>
      <c r="DK145" s="307"/>
      <c r="DN145" s="9"/>
      <c r="DO145" s="9"/>
      <c r="DP145" s="9"/>
      <c r="DQ145" s="9"/>
      <c r="DR145" s="9"/>
      <c r="DS145" s="9"/>
      <c r="EF145" s="307"/>
      <c r="EG145" s="307"/>
      <c r="EH145" s="307"/>
      <c r="EI145" s="307"/>
      <c r="EJ145" s="307"/>
      <c r="EK145" s="307"/>
    </row>
    <row r="146" spans="1:141">
      <c r="A146" s="62"/>
      <c r="B146" s="282"/>
      <c r="C146" s="62"/>
      <c r="D146" s="282"/>
      <c r="E146" s="62"/>
      <c r="F146" s="282"/>
      <c r="G146" s="62"/>
      <c r="H146" s="282"/>
      <c r="I146" s="62"/>
      <c r="J146" s="282"/>
      <c r="K146" s="62"/>
      <c r="L146" s="282"/>
      <c r="M146" s="62"/>
      <c r="N146" s="282"/>
      <c r="O146" s="62"/>
      <c r="P146" s="282"/>
      <c r="T146" s="307"/>
      <c r="Z146" s="282"/>
      <c r="AA146" s="310"/>
      <c r="AC146" s="282"/>
      <c r="AM146" s="286"/>
      <c r="AO146" s="294"/>
      <c r="BT146" s="10"/>
      <c r="BU146" s="10"/>
      <c r="BV146" s="10"/>
      <c r="BW146" s="10"/>
      <c r="CT146" s="307"/>
      <c r="CU146" s="307"/>
      <c r="CV146" s="307"/>
      <c r="CW146" s="307"/>
      <c r="CX146" s="307"/>
      <c r="CY146" s="307"/>
      <c r="CZ146" s="307"/>
      <c r="DA146" s="307"/>
      <c r="DB146" s="307"/>
      <c r="DC146" s="307"/>
      <c r="DD146" s="307"/>
      <c r="DE146" s="307"/>
      <c r="DF146" s="307"/>
      <c r="DG146" s="307"/>
      <c r="DH146" s="307"/>
      <c r="DI146" s="307"/>
      <c r="DJ146" s="307"/>
      <c r="DK146" s="307"/>
      <c r="DN146" s="9"/>
      <c r="DO146" s="9"/>
      <c r="DP146" s="9"/>
      <c r="DQ146" s="9"/>
      <c r="DR146" s="9"/>
      <c r="DS146" s="9"/>
      <c r="EF146" s="307"/>
      <c r="EG146" s="307"/>
      <c r="EH146" s="307"/>
      <c r="EI146" s="307"/>
      <c r="EJ146" s="307"/>
      <c r="EK146" s="307"/>
    </row>
    <row r="147" spans="1:141">
      <c r="A147" s="62"/>
      <c r="B147" s="282"/>
      <c r="C147" s="62"/>
      <c r="D147" s="282"/>
      <c r="E147" s="62"/>
      <c r="F147" s="282"/>
      <c r="G147" s="62"/>
      <c r="H147" s="282"/>
      <c r="I147" s="62"/>
      <c r="J147" s="282"/>
      <c r="K147" s="62"/>
      <c r="L147" s="282"/>
      <c r="M147" s="62"/>
      <c r="N147" s="282"/>
      <c r="O147" s="62"/>
      <c r="P147" s="282"/>
      <c r="T147" s="307"/>
      <c r="Z147" s="282"/>
      <c r="AA147" s="310"/>
      <c r="AC147" s="282"/>
      <c r="AM147" s="286"/>
      <c r="AO147" s="294"/>
      <c r="BT147" s="10"/>
      <c r="BU147" s="10"/>
      <c r="BV147" s="10"/>
      <c r="BW147" s="10"/>
      <c r="CT147" s="307"/>
      <c r="CU147" s="307"/>
      <c r="CV147" s="307"/>
      <c r="CW147" s="307"/>
      <c r="CX147" s="307"/>
      <c r="CY147" s="307"/>
      <c r="CZ147" s="307"/>
      <c r="DA147" s="307"/>
      <c r="DB147" s="307"/>
      <c r="DC147" s="307"/>
      <c r="DD147" s="307"/>
      <c r="DE147" s="307"/>
      <c r="DF147" s="307"/>
      <c r="DG147" s="307"/>
      <c r="DH147" s="307"/>
      <c r="DI147" s="307"/>
      <c r="DJ147" s="307"/>
      <c r="DK147" s="307"/>
      <c r="DN147" s="9"/>
      <c r="DO147" s="9"/>
      <c r="DP147" s="9"/>
      <c r="DQ147" s="9"/>
      <c r="DR147" s="9"/>
      <c r="DS147" s="9"/>
      <c r="EF147" s="307"/>
      <c r="EG147" s="307"/>
      <c r="EH147" s="307"/>
      <c r="EI147" s="307"/>
      <c r="EJ147" s="307"/>
      <c r="EK147" s="307"/>
    </row>
    <row r="148" spans="1:141">
      <c r="A148" s="62"/>
      <c r="B148" s="282"/>
      <c r="C148" s="62"/>
      <c r="D148" s="282"/>
      <c r="E148" s="62"/>
      <c r="F148" s="282"/>
      <c r="G148" s="62"/>
      <c r="H148" s="282"/>
      <c r="I148" s="62"/>
      <c r="J148" s="282"/>
      <c r="K148" s="62"/>
      <c r="L148" s="282"/>
      <c r="M148" s="62"/>
      <c r="N148" s="282"/>
      <c r="O148" s="62"/>
      <c r="P148" s="282"/>
      <c r="T148" s="307"/>
      <c r="Z148" s="282"/>
      <c r="AA148" s="310"/>
      <c r="AC148" s="282"/>
      <c r="AM148" s="286"/>
      <c r="AO148" s="294"/>
      <c r="BT148" s="10"/>
      <c r="BU148" s="10"/>
      <c r="BV148" s="10"/>
      <c r="BW148" s="10"/>
      <c r="CT148" s="307"/>
      <c r="CU148" s="307"/>
      <c r="CV148" s="307"/>
      <c r="CW148" s="307"/>
      <c r="CX148" s="307"/>
      <c r="CY148" s="307"/>
      <c r="CZ148" s="307"/>
      <c r="DA148" s="307"/>
      <c r="DB148" s="307"/>
      <c r="DC148" s="307"/>
      <c r="DD148" s="307"/>
      <c r="DE148" s="307"/>
      <c r="DF148" s="307"/>
      <c r="DG148" s="307"/>
      <c r="DH148" s="307"/>
      <c r="DI148" s="307"/>
      <c r="DJ148" s="307"/>
      <c r="DK148" s="307"/>
      <c r="DN148" s="9"/>
      <c r="DO148" s="9"/>
      <c r="DP148" s="9"/>
      <c r="DQ148" s="9"/>
      <c r="DR148" s="9"/>
      <c r="DS148" s="9"/>
      <c r="EF148" s="307"/>
      <c r="EG148" s="307"/>
      <c r="EH148" s="307"/>
      <c r="EI148" s="307"/>
      <c r="EJ148" s="307"/>
      <c r="EK148" s="307"/>
    </row>
    <row r="149" spans="1:141">
      <c r="A149" s="62"/>
      <c r="B149" s="282"/>
      <c r="C149" s="62"/>
      <c r="D149" s="282"/>
      <c r="E149" s="62"/>
      <c r="F149" s="282"/>
      <c r="G149" s="62"/>
      <c r="H149" s="282"/>
      <c r="I149" s="62"/>
      <c r="J149" s="282"/>
      <c r="K149" s="62"/>
      <c r="L149" s="282"/>
      <c r="M149" s="62"/>
      <c r="N149" s="282"/>
      <c r="O149" s="62"/>
      <c r="P149" s="282"/>
      <c r="T149" s="307"/>
      <c r="Z149" s="282"/>
      <c r="AA149" s="310"/>
      <c r="AC149" s="282"/>
      <c r="AM149" s="286"/>
      <c r="AO149" s="294"/>
      <c r="BT149" s="10"/>
      <c r="BU149" s="10"/>
      <c r="BV149" s="10"/>
      <c r="BW149" s="10"/>
      <c r="CT149" s="307"/>
      <c r="CU149" s="307"/>
      <c r="CV149" s="307"/>
      <c r="CW149" s="307"/>
      <c r="CX149" s="307"/>
      <c r="CY149" s="307"/>
      <c r="CZ149" s="307"/>
      <c r="DA149" s="307"/>
      <c r="DB149" s="307"/>
      <c r="DC149" s="307"/>
      <c r="DD149" s="307"/>
      <c r="DE149" s="307"/>
      <c r="DF149" s="307"/>
      <c r="DG149" s="307"/>
      <c r="DH149" s="307"/>
      <c r="DI149" s="307"/>
      <c r="DJ149" s="307"/>
      <c r="DK149" s="307"/>
      <c r="DN149" s="9"/>
      <c r="DO149" s="9"/>
      <c r="DP149" s="9"/>
      <c r="DQ149" s="9"/>
      <c r="DR149" s="9"/>
      <c r="DS149" s="9"/>
      <c r="EF149" s="307"/>
      <c r="EG149" s="307"/>
      <c r="EH149" s="307"/>
      <c r="EI149" s="307"/>
      <c r="EJ149" s="307"/>
      <c r="EK149" s="307"/>
    </row>
    <row r="150" spans="1:141">
      <c r="A150" s="62"/>
      <c r="B150" s="282"/>
      <c r="C150" s="62"/>
      <c r="D150" s="282"/>
      <c r="E150" s="62"/>
      <c r="F150" s="282"/>
      <c r="G150" s="62"/>
      <c r="H150" s="282"/>
      <c r="I150" s="62"/>
      <c r="J150" s="282"/>
      <c r="K150" s="62"/>
      <c r="L150" s="282"/>
      <c r="M150" s="62"/>
      <c r="N150" s="282"/>
      <c r="O150" s="62"/>
      <c r="P150" s="282"/>
      <c r="T150" s="307"/>
      <c r="Z150" s="282"/>
      <c r="AA150" s="310"/>
      <c r="AC150" s="282"/>
      <c r="AM150" s="286"/>
      <c r="AO150" s="294"/>
      <c r="BT150" s="10"/>
      <c r="BU150" s="10"/>
      <c r="BV150" s="10"/>
      <c r="BW150" s="10"/>
      <c r="CT150" s="307"/>
      <c r="CU150" s="307"/>
      <c r="CV150" s="307"/>
      <c r="CW150" s="307"/>
      <c r="CX150" s="307"/>
      <c r="CY150" s="307"/>
      <c r="CZ150" s="307"/>
      <c r="DA150" s="307"/>
      <c r="DB150" s="307"/>
      <c r="DC150" s="307"/>
      <c r="DD150" s="307"/>
      <c r="DE150" s="307"/>
      <c r="DF150" s="307"/>
      <c r="DG150" s="307"/>
      <c r="DH150" s="307"/>
      <c r="DI150" s="307"/>
      <c r="DJ150" s="307"/>
      <c r="DK150" s="307"/>
      <c r="DN150" s="9"/>
      <c r="DO150" s="9"/>
      <c r="DP150" s="9"/>
      <c r="DQ150" s="9"/>
      <c r="DR150" s="9"/>
      <c r="DS150" s="9"/>
      <c r="EF150" s="307"/>
      <c r="EG150" s="307"/>
      <c r="EH150" s="307"/>
      <c r="EI150" s="307"/>
      <c r="EJ150" s="307"/>
      <c r="EK150" s="307"/>
    </row>
    <row r="151" spans="1:141">
      <c r="A151" s="62"/>
      <c r="B151" s="282"/>
      <c r="C151" s="62"/>
      <c r="D151" s="282"/>
      <c r="E151" s="62"/>
      <c r="F151" s="282"/>
      <c r="G151" s="62"/>
      <c r="H151" s="282"/>
      <c r="I151" s="62"/>
      <c r="J151" s="282"/>
      <c r="K151" s="62"/>
      <c r="L151" s="282"/>
      <c r="M151" s="62"/>
      <c r="N151" s="282"/>
      <c r="O151" s="62"/>
      <c r="P151" s="282"/>
      <c r="T151" s="307"/>
      <c r="Z151" s="282"/>
      <c r="AA151" s="310"/>
      <c r="AC151" s="282"/>
      <c r="AM151" s="286"/>
      <c r="AO151" s="294"/>
      <c r="BT151" s="10"/>
      <c r="BU151" s="10"/>
      <c r="BV151" s="10"/>
      <c r="BW151" s="10"/>
      <c r="CT151" s="307"/>
      <c r="CU151" s="307"/>
      <c r="CV151" s="307"/>
      <c r="CW151" s="307"/>
      <c r="CX151" s="307"/>
      <c r="CY151" s="307"/>
      <c r="CZ151" s="307"/>
      <c r="DA151" s="307"/>
      <c r="DB151" s="307"/>
      <c r="DC151" s="307"/>
      <c r="DD151" s="307"/>
      <c r="DE151" s="307"/>
      <c r="DF151" s="307"/>
      <c r="DG151" s="307"/>
      <c r="DH151" s="307"/>
      <c r="DI151" s="307"/>
      <c r="DJ151" s="307"/>
      <c r="DK151" s="307"/>
      <c r="DN151" s="9"/>
      <c r="DO151" s="9"/>
      <c r="DP151" s="9"/>
      <c r="DQ151" s="9"/>
      <c r="DR151" s="9"/>
      <c r="DS151" s="9"/>
      <c r="EF151" s="307"/>
      <c r="EG151" s="307"/>
      <c r="EH151" s="307"/>
      <c r="EI151" s="307"/>
      <c r="EJ151" s="307"/>
      <c r="EK151" s="307"/>
    </row>
    <row r="152" spans="1:141">
      <c r="N152" s="59"/>
      <c r="O152" s="60"/>
      <c r="P152" s="282"/>
      <c r="T152" s="307"/>
      <c r="Y152" s="308"/>
      <c r="Z152" s="282"/>
      <c r="AA152" s="310"/>
      <c r="AC152" s="282"/>
      <c r="AM152" s="286"/>
      <c r="AO152" s="294"/>
      <c r="BT152" s="10"/>
      <c r="BU152" s="10"/>
      <c r="BV152" s="10"/>
      <c r="BW152" s="10"/>
      <c r="CT152" s="307"/>
      <c r="CU152" s="307"/>
      <c r="CV152" s="307"/>
      <c r="CW152" s="307"/>
      <c r="CX152" s="307"/>
      <c r="CY152" s="307"/>
      <c r="CZ152" s="307"/>
      <c r="DA152" s="307"/>
      <c r="DB152" s="307"/>
      <c r="DC152" s="307"/>
      <c r="DD152" s="307"/>
      <c r="DE152" s="307"/>
      <c r="DF152" s="307"/>
      <c r="DG152" s="307"/>
      <c r="DH152" s="307"/>
      <c r="DI152" s="307"/>
      <c r="DJ152" s="307"/>
      <c r="DK152" s="307"/>
      <c r="DN152" s="9"/>
      <c r="DO152" s="9"/>
      <c r="DP152" s="9"/>
      <c r="DQ152" s="9"/>
      <c r="DR152" s="9"/>
      <c r="DS152" s="9"/>
      <c r="EF152" s="307"/>
      <c r="EG152" s="307"/>
      <c r="EH152" s="307"/>
      <c r="EI152" s="307"/>
      <c r="EJ152" s="307"/>
      <c r="EK152" s="307"/>
    </row>
    <row r="153" spans="1:141">
      <c r="N153" s="59"/>
      <c r="P153" s="282"/>
      <c r="T153" s="307"/>
      <c r="Y153" s="308"/>
      <c r="Z153" s="282"/>
      <c r="AA153" s="310"/>
      <c r="AC153" s="282"/>
      <c r="AM153" s="286"/>
      <c r="AO153" s="294"/>
      <c r="BT153" s="10"/>
      <c r="BU153" s="10"/>
      <c r="BV153" s="10"/>
      <c r="BW153" s="10"/>
      <c r="CT153" s="307"/>
      <c r="CU153" s="307"/>
      <c r="CV153" s="307"/>
      <c r="CW153" s="307"/>
      <c r="CX153" s="307"/>
      <c r="CY153" s="307"/>
      <c r="CZ153" s="307"/>
      <c r="DA153" s="307"/>
      <c r="DB153" s="307"/>
      <c r="DC153" s="307"/>
      <c r="DD153" s="307"/>
      <c r="DE153" s="307"/>
      <c r="DF153" s="307"/>
      <c r="DG153" s="307"/>
      <c r="DH153" s="307"/>
      <c r="DI153" s="307"/>
      <c r="DJ153" s="307"/>
      <c r="DK153" s="307"/>
      <c r="DN153" s="9"/>
      <c r="DO153" s="9"/>
      <c r="DP153" s="9"/>
      <c r="DQ153" s="9"/>
      <c r="DR153" s="9"/>
      <c r="DS153" s="9"/>
      <c r="EF153" s="307"/>
      <c r="EG153" s="307"/>
      <c r="EH153" s="307"/>
      <c r="EI153" s="307"/>
      <c r="EJ153" s="307"/>
      <c r="EK153" s="307"/>
    </row>
    <row r="154" spans="1:141">
      <c r="P154" s="58"/>
      <c r="T154" s="307"/>
      <c r="Y154" s="308"/>
      <c r="Z154" s="282"/>
      <c r="AA154" s="310"/>
      <c r="AC154" s="282"/>
      <c r="AM154" s="286"/>
      <c r="AO154" s="294"/>
      <c r="BT154" s="10"/>
      <c r="BU154" s="10"/>
      <c r="BV154" s="10"/>
      <c r="BW154" s="10"/>
      <c r="CT154" s="307"/>
      <c r="CU154" s="307"/>
      <c r="CV154" s="307"/>
      <c r="CW154" s="307"/>
      <c r="CX154" s="307"/>
      <c r="CY154" s="307"/>
      <c r="CZ154" s="307"/>
      <c r="DA154" s="307"/>
      <c r="DB154" s="307"/>
      <c r="DC154" s="307"/>
      <c r="DD154" s="307"/>
      <c r="DE154" s="307"/>
      <c r="DF154" s="307"/>
      <c r="DG154" s="307"/>
      <c r="DH154" s="307"/>
      <c r="DI154" s="307"/>
      <c r="DJ154" s="307"/>
      <c r="DK154" s="307"/>
      <c r="DN154" s="9"/>
      <c r="DO154" s="9"/>
      <c r="DP154" s="9"/>
      <c r="DQ154" s="9"/>
      <c r="DR154" s="9"/>
      <c r="DS154" s="9"/>
      <c r="EF154" s="307"/>
      <c r="EG154" s="307"/>
      <c r="EH154" s="307"/>
      <c r="EI154" s="307"/>
      <c r="EJ154" s="307"/>
      <c r="EK154" s="307"/>
    </row>
    <row r="155" spans="1:141">
      <c r="M155" s="54"/>
      <c r="P155" s="53"/>
      <c r="T155" s="307"/>
      <c r="Y155" s="308"/>
      <c r="Z155" s="282"/>
      <c r="AA155" s="310"/>
      <c r="AC155" s="282"/>
      <c r="AM155" s="286"/>
      <c r="AO155" s="294"/>
      <c r="BT155" s="10"/>
      <c r="BU155" s="10"/>
      <c r="BV155" s="10"/>
      <c r="BW155" s="10"/>
      <c r="CT155" s="307"/>
      <c r="CU155" s="307"/>
      <c r="CV155" s="307"/>
      <c r="CW155" s="307"/>
      <c r="CX155" s="307"/>
      <c r="CY155" s="307"/>
      <c r="CZ155" s="307"/>
      <c r="DA155" s="307"/>
      <c r="DB155" s="307"/>
      <c r="DC155" s="307"/>
      <c r="DD155" s="307"/>
      <c r="DE155" s="307"/>
      <c r="DF155" s="307"/>
      <c r="DG155" s="307"/>
      <c r="DH155" s="307"/>
      <c r="DI155" s="307"/>
      <c r="DJ155" s="307"/>
      <c r="DK155" s="307"/>
      <c r="DN155" s="9"/>
      <c r="DO155" s="9"/>
      <c r="DP155" s="9"/>
      <c r="DQ155" s="9"/>
      <c r="DR155" s="9"/>
      <c r="DS155" s="9"/>
      <c r="EF155" s="307"/>
      <c r="EG155" s="307"/>
      <c r="EH155" s="307"/>
      <c r="EI155" s="307"/>
      <c r="EJ155" s="307"/>
      <c r="EK155" s="307"/>
    </row>
    <row r="156" spans="1:141">
      <c r="P156" s="10"/>
      <c r="T156" s="307"/>
      <c r="Y156" s="308"/>
      <c r="Z156" s="282"/>
      <c r="AA156" s="310"/>
      <c r="AC156" s="282"/>
      <c r="AM156" s="286"/>
      <c r="AO156" s="294"/>
      <c r="BT156" s="10"/>
      <c r="BU156" s="10"/>
      <c r="BV156" s="10"/>
      <c r="BW156" s="10"/>
      <c r="CT156" s="307"/>
      <c r="CU156" s="307"/>
      <c r="CV156" s="307"/>
      <c r="CW156" s="307"/>
      <c r="CX156" s="307"/>
      <c r="CY156" s="307"/>
      <c r="CZ156" s="307"/>
      <c r="DA156" s="307"/>
      <c r="DB156" s="307"/>
      <c r="DC156" s="307"/>
      <c r="DD156" s="307"/>
      <c r="DE156" s="307"/>
      <c r="DF156" s="307"/>
      <c r="DG156" s="307"/>
      <c r="DH156" s="307"/>
      <c r="DI156" s="307"/>
      <c r="DJ156" s="307"/>
      <c r="DK156" s="307"/>
      <c r="DN156" s="9"/>
      <c r="DO156" s="9"/>
      <c r="DP156" s="9"/>
      <c r="DQ156" s="9"/>
      <c r="DR156" s="9"/>
      <c r="DS156" s="9"/>
      <c r="EF156" s="307"/>
      <c r="EG156" s="307"/>
      <c r="EH156" s="307"/>
      <c r="EI156" s="307"/>
      <c r="EJ156" s="307"/>
      <c r="EK156" s="307"/>
    </row>
    <row r="157" spans="1:141">
      <c r="P157" s="10"/>
      <c r="T157" s="307"/>
      <c r="Y157" s="308"/>
      <c r="Z157" s="282"/>
      <c r="AA157" s="310"/>
      <c r="AC157" s="282"/>
      <c r="AM157" s="286"/>
      <c r="AO157" s="294"/>
      <c r="BT157" s="10"/>
      <c r="BU157" s="10"/>
      <c r="BV157" s="10"/>
      <c r="BW157" s="10"/>
      <c r="CT157" s="307"/>
      <c r="CU157" s="307"/>
      <c r="CV157" s="307"/>
      <c r="CW157" s="307"/>
      <c r="CX157" s="307"/>
      <c r="CY157" s="307"/>
      <c r="CZ157" s="307"/>
      <c r="DA157" s="307"/>
      <c r="DB157" s="307"/>
      <c r="DC157" s="307"/>
      <c r="DD157" s="307"/>
      <c r="DE157" s="307"/>
      <c r="DF157" s="307"/>
      <c r="DG157" s="307"/>
      <c r="DH157" s="307"/>
      <c r="DI157" s="307"/>
      <c r="DJ157" s="307"/>
      <c r="DK157" s="307"/>
      <c r="DN157" s="9"/>
      <c r="DO157" s="9"/>
      <c r="DP157" s="9"/>
      <c r="DQ157" s="9"/>
      <c r="DR157" s="9"/>
      <c r="DS157" s="9"/>
      <c r="EF157" s="307"/>
      <c r="EG157" s="307"/>
      <c r="EH157" s="307"/>
      <c r="EI157" s="307"/>
      <c r="EJ157" s="307"/>
      <c r="EK157" s="307"/>
    </row>
    <row r="158" spans="1:141">
      <c r="P158" s="10"/>
      <c r="T158" s="307"/>
      <c r="Y158" s="308"/>
      <c r="Z158" s="282"/>
      <c r="AA158" s="310"/>
      <c r="AC158" s="282"/>
      <c r="AO158" s="294"/>
      <c r="BT158" s="10"/>
      <c r="BU158" s="10"/>
      <c r="BV158" s="10"/>
      <c r="BW158" s="10"/>
      <c r="CT158" s="307"/>
      <c r="CU158" s="307"/>
      <c r="CV158" s="307"/>
      <c r="CW158" s="307"/>
      <c r="CX158" s="307"/>
      <c r="CY158" s="307"/>
      <c r="CZ158" s="307"/>
      <c r="DA158" s="307"/>
      <c r="DB158" s="307"/>
      <c r="DC158" s="307"/>
      <c r="DD158" s="307"/>
      <c r="DE158" s="307"/>
      <c r="DF158" s="307"/>
      <c r="DG158" s="307"/>
      <c r="DH158" s="307"/>
      <c r="DI158" s="307"/>
      <c r="DJ158" s="307"/>
      <c r="DK158" s="307"/>
      <c r="DN158" s="9"/>
      <c r="DO158" s="9"/>
      <c r="DP158" s="9"/>
      <c r="DQ158" s="9"/>
      <c r="DR158" s="9"/>
      <c r="DS158" s="9"/>
      <c r="EF158" s="307"/>
      <c r="EG158" s="307"/>
      <c r="EH158" s="307"/>
      <c r="EI158" s="307"/>
      <c r="EJ158" s="307"/>
      <c r="EK158" s="307"/>
    </row>
    <row r="159" spans="1:141">
      <c r="A159" s="10"/>
      <c r="C159" s="10"/>
      <c r="E159" s="10"/>
      <c r="G159" s="10"/>
      <c r="I159" s="10"/>
      <c r="K159" s="10"/>
      <c r="M159" s="10"/>
      <c r="O159" s="10"/>
      <c r="P159" s="10"/>
      <c r="T159" s="307"/>
      <c r="Y159" s="308"/>
      <c r="Z159" s="282"/>
      <c r="AA159" s="310"/>
      <c r="AC159" s="282"/>
      <c r="AO159" s="294"/>
      <c r="BT159" s="10"/>
      <c r="BU159" s="10"/>
      <c r="BV159" s="10"/>
      <c r="BW159" s="10"/>
      <c r="CT159" s="307"/>
      <c r="CU159" s="307"/>
      <c r="CV159" s="307"/>
      <c r="CW159" s="307"/>
      <c r="CX159" s="307"/>
      <c r="CY159" s="307"/>
      <c r="CZ159" s="307"/>
      <c r="DA159" s="307"/>
      <c r="DB159" s="307"/>
      <c r="DC159" s="307"/>
      <c r="DD159" s="307"/>
      <c r="DE159" s="307"/>
      <c r="DF159" s="307"/>
      <c r="DG159" s="307"/>
      <c r="DH159" s="307"/>
      <c r="DI159" s="307"/>
      <c r="DJ159" s="307"/>
      <c r="DK159" s="307"/>
      <c r="DN159" s="9"/>
      <c r="DO159" s="9"/>
      <c r="DP159" s="9"/>
      <c r="DQ159" s="9"/>
      <c r="DR159" s="9"/>
      <c r="DS159" s="9"/>
      <c r="EF159" s="307"/>
      <c r="EG159" s="307"/>
      <c r="EH159" s="307"/>
      <c r="EI159" s="307"/>
      <c r="EJ159" s="307"/>
      <c r="EK159" s="307"/>
    </row>
    <row r="160" spans="1:141">
      <c r="A160" s="10"/>
      <c r="C160" s="10"/>
      <c r="E160" s="10"/>
      <c r="G160" s="10"/>
      <c r="I160" s="10"/>
      <c r="K160" s="10"/>
      <c r="M160" s="10"/>
      <c r="O160" s="10"/>
      <c r="P160" s="10"/>
      <c r="T160" s="307"/>
      <c r="Y160" s="308"/>
      <c r="Z160" s="282"/>
      <c r="AA160" s="310"/>
      <c r="AC160" s="282"/>
      <c r="AO160" s="294"/>
      <c r="BT160" s="10"/>
      <c r="BU160" s="10"/>
      <c r="BV160" s="10"/>
      <c r="BW160" s="10"/>
      <c r="CT160" s="307"/>
      <c r="CU160" s="307"/>
      <c r="CV160" s="307"/>
      <c r="CW160" s="307"/>
      <c r="CX160" s="307"/>
      <c r="CY160" s="307"/>
      <c r="CZ160" s="307"/>
      <c r="DA160" s="307"/>
      <c r="DB160" s="307"/>
      <c r="DC160" s="307"/>
      <c r="DD160" s="307"/>
      <c r="DE160" s="307"/>
      <c r="DF160" s="307"/>
      <c r="DG160" s="307"/>
      <c r="DH160" s="307"/>
      <c r="DI160" s="307"/>
      <c r="DJ160" s="307"/>
      <c r="DK160" s="307"/>
      <c r="DN160" s="9"/>
      <c r="DO160" s="9"/>
      <c r="DP160" s="9"/>
      <c r="DQ160" s="9"/>
      <c r="DR160" s="9"/>
      <c r="DS160" s="9"/>
      <c r="EF160" s="307"/>
      <c r="EG160" s="307"/>
      <c r="EH160" s="307"/>
      <c r="EI160" s="307"/>
      <c r="EJ160" s="307"/>
      <c r="EK160" s="307"/>
    </row>
    <row r="161" spans="1:141" ht="15">
      <c r="A161" s="42"/>
      <c r="B161" s="42"/>
      <c r="C161" s="404"/>
      <c r="D161" s="404"/>
      <c r="E161" s="404"/>
      <c r="F161" s="41"/>
      <c r="G161" s="282"/>
      <c r="H161" s="282"/>
      <c r="I161" s="282"/>
      <c r="J161" s="282"/>
      <c r="K161" s="282"/>
      <c r="L161" s="282"/>
      <c r="M161" s="40"/>
      <c r="N161" s="40"/>
      <c r="O161" s="18"/>
      <c r="P161" s="10"/>
      <c r="T161" s="307"/>
      <c r="Y161" s="308"/>
      <c r="Z161" s="282"/>
      <c r="AA161" s="310"/>
      <c r="AC161" s="282"/>
      <c r="AO161" s="294"/>
      <c r="BT161" s="10"/>
      <c r="BU161" s="10"/>
      <c r="BV161" s="10"/>
      <c r="BW161" s="10"/>
      <c r="CT161" s="307"/>
      <c r="CU161" s="307"/>
      <c r="CV161" s="307"/>
      <c r="CW161" s="307"/>
      <c r="CX161" s="307"/>
      <c r="CY161" s="307"/>
      <c r="CZ161" s="307"/>
      <c r="DA161" s="307"/>
      <c r="DB161" s="307"/>
      <c r="DC161" s="307"/>
      <c r="DD161" s="307"/>
      <c r="DE161" s="307"/>
      <c r="DF161" s="307"/>
      <c r="DG161" s="307"/>
      <c r="DH161" s="307"/>
      <c r="DI161" s="307"/>
      <c r="DJ161" s="307"/>
      <c r="DK161" s="307"/>
      <c r="DN161" s="9"/>
      <c r="DO161" s="9"/>
      <c r="DP161" s="9"/>
      <c r="DQ161" s="9"/>
      <c r="DR161" s="9"/>
      <c r="DS161" s="9"/>
      <c r="EF161" s="307"/>
      <c r="EG161" s="307"/>
      <c r="EH161" s="307"/>
      <c r="EI161" s="307"/>
      <c r="EJ161" s="307"/>
      <c r="EK161" s="307"/>
    </row>
    <row r="162" spans="1:141" ht="15">
      <c r="A162" s="10"/>
      <c r="C162" s="36"/>
      <c r="D162" s="36"/>
      <c r="E162" s="35"/>
      <c r="F162" s="35"/>
      <c r="G162" s="35"/>
      <c r="H162" s="34"/>
      <c r="I162" s="10"/>
      <c r="K162" s="10"/>
      <c r="M162" s="39"/>
      <c r="N162" s="39"/>
      <c r="O162" s="32"/>
      <c r="P162" s="10"/>
      <c r="T162" s="307"/>
      <c r="Y162" s="308"/>
      <c r="Z162" s="282"/>
      <c r="AA162" s="310"/>
      <c r="AC162" s="282"/>
      <c r="AO162" s="294"/>
      <c r="BT162" s="10"/>
      <c r="BU162" s="10"/>
      <c r="BV162" s="10"/>
      <c r="BW162" s="10"/>
      <c r="CT162" s="307"/>
      <c r="CU162" s="307"/>
      <c r="CV162" s="307"/>
      <c r="CW162" s="307"/>
      <c r="CX162" s="307"/>
      <c r="CY162" s="307"/>
      <c r="CZ162" s="307"/>
      <c r="DA162" s="307"/>
      <c r="DB162" s="307"/>
      <c r="DC162" s="307"/>
      <c r="DD162" s="307"/>
      <c r="DE162" s="307"/>
      <c r="DF162" s="307"/>
      <c r="DG162" s="307"/>
      <c r="DH162" s="307"/>
      <c r="DI162" s="307"/>
      <c r="DJ162" s="307"/>
      <c r="DK162" s="307"/>
      <c r="DN162" s="9"/>
      <c r="DO162" s="9"/>
      <c r="DP162" s="9"/>
      <c r="DQ162" s="9"/>
      <c r="DR162" s="9"/>
      <c r="DS162" s="9"/>
      <c r="EF162" s="307"/>
      <c r="EG162" s="307"/>
      <c r="EH162" s="307"/>
      <c r="EI162" s="307"/>
      <c r="EJ162" s="307"/>
      <c r="EK162" s="307"/>
    </row>
    <row r="163" spans="1:141" ht="15">
      <c r="A163" s="10"/>
      <c r="C163" s="36"/>
      <c r="D163" s="36"/>
      <c r="E163" s="35"/>
      <c r="F163" s="35"/>
      <c r="G163" s="35"/>
      <c r="H163" s="34"/>
      <c r="I163" s="10"/>
      <c r="K163" s="10"/>
      <c r="M163" s="10"/>
      <c r="O163" s="10"/>
      <c r="P163" s="18"/>
      <c r="T163" s="307"/>
      <c r="AO163" s="294"/>
      <c r="BT163" s="10"/>
      <c r="BU163" s="10"/>
      <c r="BV163" s="10"/>
      <c r="BW163" s="10"/>
      <c r="CT163" s="307"/>
      <c r="CU163" s="307"/>
      <c r="CV163" s="307"/>
      <c r="CW163" s="307"/>
      <c r="CX163" s="307"/>
      <c r="CY163" s="307"/>
      <c r="CZ163" s="307"/>
      <c r="DA163" s="307"/>
      <c r="DB163" s="307"/>
      <c r="DC163" s="307"/>
      <c r="DD163" s="307"/>
      <c r="DE163" s="307"/>
      <c r="DF163" s="307"/>
      <c r="DG163" s="307"/>
      <c r="DH163" s="307"/>
      <c r="DI163" s="307"/>
      <c r="DJ163" s="307"/>
      <c r="DK163" s="307"/>
      <c r="DN163" s="9"/>
      <c r="DO163" s="9"/>
      <c r="DP163" s="9"/>
      <c r="DQ163" s="9"/>
      <c r="DR163" s="9"/>
      <c r="DS163" s="9"/>
      <c r="EF163" s="307"/>
      <c r="EG163" s="307"/>
      <c r="EH163" s="307"/>
      <c r="EI163" s="307"/>
      <c r="EJ163" s="307"/>
      <c r="EK163" s="307"/>
    </row>
    <row r="164" spans="1:141" ht="15">
      <c r="A164" s="10"/>
      <c r="C164" s="29"/>
      <c r="D164" s="29"/>
      <c r="E164" s="10"/>
      <c r="G164" s="10"/>
      <c r="I164" s="10"/>
      <c r="K164" s="10"/>
      <c r="M164" s="10"/>
      <c r="O164" s="10"/>
      <c r="P164" s="32"/>
      <c r="T164" s="307"/>
      <c r="AO164" s="294"/>
      <c r="BT164" s="10"/>
      <c r="BU164" s="10"/>
      <c r="BV164" s="10"/>
      <c r="BW164" s="10"/>
      <c r="CT164" s="307"/>
      <c r="CU164" s="307"/>
      <c r="CV164" s="307"/>
      <c r="CW164" s="307"/>
      <c r="CX164" s="307"/>
      <c r="CY164" s="307"/>
      <c r="CZ164" s="307"/>
      <c r="DA164" s="307"/>
      <c r="DB164" s="307"/>
      <c r="DC164" s="307"/>
      <c r="DD164" s="307"/>
      <c r="DE164" s="307"/>
      <c r="DF164" s="307"/>
      <c r="DG164" s="307"/>
      <c r="DH164" s="307"/>
      <c r="DI164" s="307"/>
      <c r="DJ164" s="307"/>
      <c r="DK164" s="307"/>
      <c r="DN164" s="9"/>
      <c r="DO164" s="9"/>
      <c r="DP164" s="9"/>
      <c r="DQ164" s="9"/>
      <c r="DR164" s="9"/>
      <c r="DS164" s="9"/>
      <c r="EF164" s="307"/>
      <c r="EG164" s="307"/>
      <c r="EH164" s="307"/>
      <c r="EI164" s="307"/>
      <c r="EJ164" s="307"/>
      <c r="EK164" s="307"/>
    </row>
    <row r="165" spans="1:141" ht="15">
      <c r="A165" s="29"/>
      <c r="B165" s="29"/>
      <c r="C165" s="31"/>
      <c r="D165" s="31"/>
      <c r="E165" s="10"/>
      <c r="G165" s="10"/>
      <c r="I165" s="10"/>
      <c r="K165" s="10"/>
      <c r="M165" s="10"/>
      <c r="O165" s="10"/>
      <c r="P165" s="30"/>
      <c r="T165" s="307"/>
      <c r="AO165" s="294"/>
      <c r="BT165" s="10"/>
      <c r="BU165" s="10"/>
      <c r="BV165" s="10"/>
      <c r="BW165" s="10"/>
      <c r="CT165" s="307"/>
      <c r="CU165" s="307"/>
      <c r="CV165" s="307"/>
      <c r="CW165" s="307"/>
      <c r="CX165" s="307"/>
      <c r="CY165" s="307"/>
      <c r="CZ165" s="307"/>
      <c r="DA165" s="307"/>
      <c r="DB165" s="307"/>
      <c r="DC165" s="307"/>
      <c r="DD165" s="307"/>
      <c r="DE165" s="307"/>
      <c r="DF165" s="307"/>
      <c r="DG165" s="307"/>
      <c r="DH165" s="307"/>
      <c r="DI165" s="307"/>
      <c r="DJ165" s="307"/>
      <c r="DK165" s="307"/>
      <c r="DN165" s="9"/>
      <c r="DO165" s="9"/>
      <c r="DP165" s="9"/>
      <c r="DQ165" s="9"/>
      <c r="DR165" s="9"/>
      <c r="DS165" s="9"/>
      <c r="EF165" s="307"/>
      <c r="EG165" s="307"/>
      <c r="EH165" s="307"/>
      <c r="EI165" s="307"/>
      <c r="EJ165" s="307"/>
      <c r="EK165" s="307"/>
    </row>
    <row r="166" spans="1:141" ht="15">
      <c r="A166" s="29"/>
      <c r="B166" s="29"/>
      <c r="C166" s="29"/>
      <c r="D166" s="29"/>
      <c r="E166" s="29"/>
      <c r="F166" s="29"/>
      <c r="G166" s="405"/>
      <c r="H166" s="405"/>
      <c r="I166" s="308"/>
      <c r="J166" s="308"/>
      <c r="K166" s="405"/>
      <c r="L166" s="405"/>
      <c r="M166" s="14"/>
      <c r="N166" s="14"/>
      <c r="O166" s="405"/>
      <c r="P166" s="26"/>
      <c r="T166" s="307"/>
      <c r="AO166" s="294"/>
      <c r="BT166" s="10"/>
      <c r="BU166" s="10"/>
      <c r="BV166" s="10"/>
      <c r="BW166" s="10"/>
      <c r="CT166" s="307"/>
      <c r="CU166" s="307"/>
      <c r="CV166" s="307"/>
      <c r="CW166" s="307"/>
      <c r="CX166" s="307"/>
      <c r="CY166" s="307"/>
      <c r="CZ166" s="307"/>
      <c r="DA166" s="307"/>
      <c r="DB166" s="307"/>
      <c r="DC166" s="307"/>
      <c r="DD166" s="307"/>
      <c r="DE166" s="307"/>
      <c r="DF166" s="307"/>
      <c r="DG166" s="307"/>
      <c r="DH166" s="307"/>
      <c r="DI166" s="307"/>
      <c r="DJ166" s="307"/>
      <c r="DK166" s="307"/>
      <c r="DN166" s="9"/>
      <c r="DO166" s="9"/>
      <c r="DP166" s="9"/>
      <c r="DQ166" s="9"/>
      <c r="DR166" s="9"/>
      <c r="DS166" s="9"/>
      <c r="EF166" s="307"/>
      <c r="EG166" s="307"/>
      <c r="EH166" s="307"/>
      <c r="EI166" s="307"/>
      <c r="EJ166" s="307"/>
      <c r="EK166" s="307"/>
    </row>
    <row r="167" spans="1:141" ht="15">
      <c r="A167" s="308"/>
      <c r="B167" s="308"/>
      <c r="C167" s="308"/>
      <c r="D167" s="308"/>
      <c r="E167" s="10"/>
      <c r="G167" s="10"/>
      <c r="I167" s="10"/>
      <c r="K167" s="10"/>
      <c r="M167" s="10"/>
      <c r="O167" s="10"/>
      <c r="P167" s="28"/>
      <c r="T167" s="307"/>
      <c r="BT167" s="10"/>
      <c r="BU167" s="10"/>
      <c r="BV167" s="10"/>
      <c r="BW167" s="10"/>
      <c r="CT167" s="307"/>
      <c r="CU167" s="307"/>
      <c r="CV167" s="307"/>
      <c r="CW167" s="307"/>
      <c r="CX167" s="307"/>
      <c r="CY167" s="307"/>
      <c r="CZ167" s="307"/>
      <c r="DA167" s="307"/>
      <c r="DB167" s="307"/>
      <c r="DC167" s="307"/>
      <c r="DD167" s="307"/>
      <c r="DE167" s="307"/>
      <c r="DF167" s="307"/>
      <c r="DG167" s="307"/>
      <c r="DH167" s="307"/>
      <c r="DI167" s="307"/>
      <c r="DJ167" s="307"/>
      <c r="DK167" s="307"/>
      <c r="DN167" s="9"/>
      <c r="DO167" s="9"/>
      <c r="DP167" s="9"/>
      <c r="DQ167" s="9"/>
      <c r="DR167" s="9"/>
      <c r="DS167" s="9"/>
      <c r="EF167" s="307"/>
      <c r="EG167" s="307"/>
      <c r="EH167" s="307"/>
      <c r="EI167" s="307"/>
      <c r="EJ167" s="307"/>
      <c r="EK167" s="307"/>
    </row>
    <row r="168" spans="1:141" ht="15">
      <c r="A168" s="14"/>
      <c r="B168" s="14"/>
      <c r="C168" s="308"/>
      <c r="D168" s="308"/>
      <c r="E168" s="10"/>
      <c r="G168" s="10"/>
      <c r="I168" s="10"/>
      <c r="K168" s="10"/>
      <c r="M168" s="10"/>
      <c r="O168" s="10"/>
      <c r="P168" s="405"/>
      <c r="T168" s="307"/>
      <c r="BT168" s="10"/>
      <c r="BU168" s="10"/>
      <c r="BV168" s="10"/>
      <c r="BW168" s="10"/>
      <c r="CT168" s="307"/>
      <c r="CU168" s="307"/>
      <c r="CV168" s="307"/>
      <c r="CW168" s="307"/>
      <c r="CX168" s="307"/>
      <c r="CY168" s="307"/>
      <c r="CZ168" s="307"/>
      <c r="DA168" s="307"/>
      <c r="DB168" s="307"/>
      <c r="DC168" s="307"/>
      <c r="DD168" s="307"/>
      <c r="DE168" s="307"/>
      <c r="DF168" s="307"/>
      <c r="DG168" s="307"/>
      <c r="DH168" s="307"/>
      <c r="DI168" s="307"/>
      <c r="DJ168" s="307"/>
      <c r="DK168" s="307"/>
      <c r="DN168" s="9"/>
      <c r="DO168" s="9"/>
      <c r="DP168" s="9"/>
      <c r="DQ168" s="9"/>
      <c r="DR168" s="9"/>
      <c r="DS168" s="9"/>
      <c r="EF168" s="307"/>
      <c r="EG168" s="307"/>
      <c r="EH168" s="307"/>
      <c r="EI168" s="307"/>
      <c r="EJ168" s="307"/>
      <c r="EK168" s="307"/>
    </row>
    <row r="169" spans="1:141" ht="15">
      <c r="A169" s="14"/>
      <c r="B169" s="14"/>
      <c r="C169" s="308"/>
      <c r="D169" s="308"/>
      <c r="E169" s="10"/>
      <c r="G169" s="10"/>
      <c r="I169" s="10"/>
      <c r="K169" s="10"/>
      <c r="M169" s="10"/>
      <c r="O169" s="10"/>
      <c r="P169" s="27"/>
      <c r="T169" s="307"/>
      <c r="BT169" s="10"/>
      <c r="BU169" s="10"/>
      <c r="BV169" s="10"/>
      <c r="BW169" s="10"/>
      <c r="CT169" s="307"/>
      <c r="CU169" s="307"/>
      <c r="CV169" s="307"/>
      <c r="CW169" s="307"/>
      <c r="CX169" s="307"/>
      <c r="CY169" s="307"/>
      <c r="CZ169" s="307"/>
      <c r="DA169" s="307"/>
      <c r="DB169" s="307"/>
      <c r="DC169" s="307"/>
      <c r="DD169" s="307"/>
      <c r="DE169" s="307"/>
      <c r="DF169" s="307"/>
      <c r="DG169" s="307"/>
      <c r="DH169" s="307"/>
      <c r="DI169" s="307"/>
      <c r="DJ169" s="307"/>
      <c r="DK169" s="307"/>
      <c r="DN169" s="9"/>
      <c r="DO169" s="9"/>
      <c r="DP169" s="9"/>
      <c r="DQ169" s="9"/>
      <c r="DR169" s="9"/>
      <c r="DS169" s="9"/>
      <c r="EF169" s="307"/>
      <c r="EG169" s="307"/>
      <c r="EH169" s="307"/>
      <c r="EI169" s="307"/>
      <c r="EJ169" s="307"/>
      <c r="EK169" s="307"/>
    </row>
    <row r="170" spans="1:141" ht="15">
      <c r="A170" s="14"/>
      <c r="B170" s="14"/>
      <c r="C170" s="308"/>
      <c r="D170" s="308"/>
      <c r="E170" s="10"/>
      <c r="G170" s="10"/>
      <c r="I170" s="10"/>
      <c r="K170" s="10"/>
      <c r="M170" s="10"/>
      <c r="O170" s="10"/>
      <c r="P170" s="21"/>
      <c r="T170" s="307"/>
      <c r="BT170" s="10"/>
      <c r="BU170" s="10"/>
      <c r="BV170" s="10"/>
      <c r="BW170" s="10"/>
      <c r="CT170" s="307"/>
      <c r="CU170" s="307"/>
      <c r="CV170" s="307"/>
      <c r="CW170" s="307"/>
      <c r="CX170" s="307"/>
      <c r="CY170" s="307"/>
      <c r="CZ170" s="307"/>
      <c r="DA170" s="307"/>
      <c r="DB170" s="307"/>
      <c r="DC170" s="307"/>
      <c r="DD170" s="307"/>
      <c r="DE170" s="307"/>
      <c r="DF170" s="307"/>
      <c r="DG170" s="307"/>
      <c r="DH170" s="307"/>
      <c r="DI170" s="307"/>
      <c r="DJ170" s="307"/>
      <c r="DK170" s="307"/>
      <c r="DN170" s="9"/>
      <c r="DO170" s="9"/>
      <c r="DP170" s="9"/>
      <c r="DQ170" s="9"/>
      <c r="DR170" s="9"/>
      <c r="DS170" s="9"/>
      <c r="EF170" s="307"/>
      <c r="EG170" s="307"/>
      <c r="EH170" s="307"/>
      <c r="EI170" s="307"/>
      <c r="EJ170" s="307"/>
      <c r="EK170" s="307"/>
    </row>
    <row r="171" spans="1:141" ht="15">
      <c r="A171" s="14"/>
      <c r="B171" s="14"/>
      <c r="C171" s="308"/>
      <c r="D171" s="308"/>
      <c r="E171" s="15"/>
      <c r="F171" s="15"/>
      <c r="G171" s="26"/>
      <c r="H171" s="26"/>
      <c r="I171" s="14"/>
      <c r="J171" s="14"/>
      <c r="K171" s="26"/>
      <c r="L171" s="26"/>
      <c r="M171" s="14"/>
      <c r="N171" s="14"/>
      <c r="O171" s="23"/>
      <c r="P171" s="21"/>
      <c r="T171" s="307"/>
      <c r="BT171" s="10"/>
      <c r="BU171" s="10"/>
      <c r="BV171" s="10"/>
      <c r="BW171" s="10"/>
      <c r="CT171" s="307"/>
      <c r="CU171" s="307"/>
      <c r="CV171" s="307"/>
      <c r="CW171" s="307"/>
      <c r="CX171" s="307"/>
      <c r="CY171" s="307"/>
      <c r="CZ171" s="307"/>
      <c r="DA171" s="307"/>
      <c r="DB171" s="307"/>
      <c r="DC171" s="307"/>
      <c r="DD171" s="307"/>
      <c r="DE171" s="307"/>
      <c r="DF171" s="307"/>
      <c r="DG171" s="307"/>
      <c r="DH171" s="307"/>
      <c r="DI171" s="307"/>
      <c r="DJ171" s="307"/>
      <c r="DK171" s="307"/>
      <c r="DN171" s="9"/>
      <c r="DO171" s="9"/>
      <c r="DP171" s="9"/>
      <c r="DQ171" s="9"/>
      <c r="DR171" s="9"/>
      <c r="DS171" s="9"/>
      <c r="EF171" s="307"/>
      <c r="EG171" s="307"/>
      <c r="EH171" s="307"/>
      <c r="EI171" s="307"/>
      <c r="EJ171" s="307"/>
      <c r="EK171" s="307"/>
    </row>
    <row r="172" spans="1:141" ht="15">
      <c r="A172" s="18"/>
      <c r="B172" s="18"/>
      <c r="C172" s="10"/>
      <c r="E172" s="10"/>
      <c r="G172" s="10"/>
      <c r="I172" s="10"/>
      <c r="K172" s="10"/>
      <c r="M172" s="10"/>
      <c r="O172" s="10"/>
      <c r="P172" s="25"/>
      <c r="BT172" s="10"/>
      <c r="BU172" s="10"/>
      <c r="BV172" s="10"/>
      <c r="BW172" s="10"/>
      <c r="CT172" s="307"/>
      <c r="CU172" s="307"/>
      <c r="CV172" s="307"/>
      <c r="CW172" s="307"/>
      <c r="CX172" s="307"/>
      <c r="CY172" s="307"/>
      <c r="CZ172" s="307"/>
      <c r="DA172" s="307"/>
      <c r="DB172" s="307"/>
      <c r="DC172" s="307"/>
      <c r="DD172" s="307"/>
      <c r="DE172" s="307"/>
      <c r="DF172" s="307"/>
      <c r="DG172" s="307"/>
      <c r="DH172" s="307"/>
      <c r="DI172" s="307"/>
      <c r="DJ172" s="307"/>
      <c r="DK172" s="307"/>
      <c r="DN172" s="9"/>
      <c r="DO172" s="9"/>
      <c r="DP172" s="9"/>
      <c r="DQ172" s="9"/>
      <c r="DR172" s="9"/>
      <c r="DS172" s="9"/>
      <c r="EF172" s="307"/>
      <c r="EG172" s="307"/>
      <c r="EH172" s="307"/>
      <c r="EI172" s="307"/>
      <c r="EJ172" s="307"/>
      <c r="EK172" s="307"/>
    </row>
    <row r="173" spans="1:141" ht="15">
      <c r="A173" s="14"/>
      <c r="B173" s="14"/>
      <c r="C173" s="24"/>
      <c r="D173" s="24"/>
      <c r="E173" s="10"/>
      <c r="G173" s="10"/>
      <c r="I173" s="10"/>
      <c r="K173" s="10"/>
      <c r="M173" s="10"/>
      <c r="O173" s="10"/>
      <c r="P173" s="23"/>
      <c r="BT173" s="10"/>
      <c r="BU173" s="10"/>
      <c r="BV173" s="10"/>
      <c r="BW173" s="10"/>
      <c r="CT173" s="307"/>
      <c r="CU173" s="307"/>
      <c r="CV173" s="307"/>
      <c r="CW173" s="307"/>
      <c r="CX173" s="307"/>
      <c r="CY173" s="307"/>
      <c r="CZ173" s="307"/>
      <c r="DA173" s="307"/>
      <c r="DB173" s="307"/>
      <c r="DC173" s="307"/>
      <c r="DD173" s="307"/>
      <c r="DE173" s="307"/>
      <c r="DF173" s="307"/>
      <c r="DG173" s="307"/>
      <c r="DH173" s="307"/>
      <c r="DI173" s="307"/>
      <c r="DJ173" s="307"/>
      <c r="DK173" s="307"/>
      <c r="DN173" s="9"/>
      <c r="DO173" s="9"/>
      <c r="DP173" s="9"/>
      <c r="DQ173" s="9"/>
      <c r="DR173" s="9"/>
      <c r="DS173" s="9"/>
      <c r="EF173" s="307"/>
      <c r="EG173" s="307"/>
      <c r="EH173" s="307"/>
      <c r="EI173" s="307"/>
      <c r="EJ173" s="307"/>
      <c r="EK173" s="307"/>
    </row>
    <row r="174" spans="1:141" ht="15">
      <c r="A174" s="14"/>
      <c r="B174" s="14"/>
      <c r="C174" s="308"/>
      <c r="D174" s="308"/>
      <c r="E174" s="10"/>
      <c r="G174" s="10"/>
      <c r="I174" s="10"/>
      <c r="K174" s="10"/>
      <c r="M174" s="10"/>
      <c r="O174" s="10"/>
      <c r="P174" s="21"/>
    </row>
    <row r="175" spans="1:141" ht="15">
      <c r="A175" s="18"/>
      <c r="B175" s="18"/>
      <c r="C175" s="22"/>
      <c r="D175" s="22"/>
      <c r="E175" s="10"/>
      <c r="G175" s="10"/>
      <c r="I175" s="10"/>
      <c r="K175" s="10"/>
      <c r="M175" s="10"/>
      <c r="O175" s="10"/>
      <c r="P175" s="21"/>
    </row>
    <row r="176" spans="1:141" ht="15">
      <c r="A176" s="10"/>
      <c r="C176" s="10"/>
      <c r="E176" s="10"/>
      <c r="G176" s="18"/>
      <c r="H176" s="18"/>
      <c r="I176" s="20"/>
      <c r="J176" s="20"/>
      <c r="K176" s="18"/>
      <c r="L176" s="18"/>
      <c r="M176" s="10"/>
      <c r="O176" s="10"/>
      <c r="P176" s="17"/>
    </row>
    <row r="177" spans="1:16" ht="15">
      <c r="A177" s="19"/>
      <c r="B177" s="19"/>
      <c r="C177" s="10"/>
      <c r="E177" s="10"/>
      <c r="G177" s="18"/>
      <c r="H177" s="18"/>
      <c r="I177" s="14"/>
      <c r="J177" s="14"/>
      <c r="K177" s="18"/>
      <c r="L177" s="18"/>
      <c r="M177" s="10"/>
      <c r="O177" s="10"/>
      <c r="P177" s="17"/>
    </row>
    <row r="178" spans="1:16">
      <c r="A178" s="16"/>
      <c r="B178" s="16"/>
      <c r="C178" s="10"/>
      <c r="E178" s="10"/>
      <c r="G178" s="10"/>
      <c r="I178" s="10"/>
      <c r="K178" s="10"/>
      <c r="M178" s="10"/>
      <c r="O178" s="10"/>
      <c r="P178" s="10"/>
    </row>
    <row r="179" spans="1:16" ht="15">
      <c r="A179" s="16"/>
      <c r="B179" s="16"/>
      <c r="C179" s="10"/>
      <c r="E179" s="10"/>
      <c r="G179" s="10"/>
      <c r="I179" s="10"/>
      <c r="K179" s="10"/>
      <c r="M179" s="13"/>
      <c r="N179" s="13"/>
      <c r="O179" s="308"/>
      <c r="P179" s="10"/>
    </row>
    <row r="180" spans="1:16">
      <c r="A180" s="16"/>
      <c r="B180" s="16"/>
      <c r="C180" s="10"/>
      <c r="E180" s="10"/>
      <c r="G180" s="10"/>
      <c r="I180" s="10"/>
      <c r="K180" s="10"/>
      <c r="M180" s="308"/>
      <c r="N180" s="308"/>
      <c r="O180" s="308"/>
      <c r="P180" s="10"/>
    </row>
    <row r="181" spans="1:16">
      <c r="A181" s="16"/>
      <c r="B181" s="16"/>
      <c r="C181" s="10"/>
      <c r="E181" s="10"/>
      <c r="G181" s="10"/>
      <c r="I181" s="10"/>
      <c r="K181" s="10"/>
      <c r="M181" s="308"/>
      <c r="N181" s="308"/>
      <c r="O181" s="308"/>
      <c r="P181" s="308"/>
    </row>
    <row r="182" spans="1:16" ht="15">
      <c r="A182" s="16"/>
      <c r="B182" s="16"/>
      <c r="C182" s="14"/>
      <c r="D182" s="14"/>
      <c r="E182" s="15"/>
      <c r="F182" s="15"/>
      <c r="G182" s="14"/>
      <c r="H182" s="14"/>
      <c r="I182" s="14"/>
      <c r="J182" s="14"/>
      <c r="K182" s="13"/>
      <c r="L182" s="13"/>
      <c r="M182" s="13"/>
      <c r="N182" s="13"/>
      <c r="O182" s="12"/>
      <c r="P182" s="308"/>
    </row>
    <row r="183" spans="1:16">
      <c r="A183" s="10"/>
      <c r="C183" s="10"/>
      <c r="E183" s="10"/>
      <c r="G183" s="10"/>
      <c r="I183" s="10"/>
      <c r="K183" s="10"/>
      <c r="M183" s="10"/>
      <c r="O183" s="10"/>
      <c r="P183" s="308"/>
    </row>
    <row r="184" spans="1:16">
      <c r="A184" s="10"/>
      <c r="C184" s="10"/>
      <c r="E184" s="10"/>
      <c r="G184" s="10"/>
      <c r="I184" s="10"/>
      <c r="K184" s="10"/>
      <c r="M184" s="10"/>
      <c r="O184" s="10"/>
      <c r="P184" s="12"/>
    </row>
  </sheetData>
  <sheetProtection password="F0B6" sheet="1" objects="1" scenarios="1" selectLockedCells="1"/>
  <mergeCells count="26">
    <mergeCell ref="O140:Q140"/>
    <mergeCell ref="O1:Q3"/>
    <mergeCell ref="A79:G80"/>
    <mergeCell ref="K11:M11"/>
    <mergeCell ref="C27:E27"/>
    <mergeCell ref="E19:I19"/>
    <mergeCell ref="A140:M141"/>
    <mergeCell ref="P79:Q80"/>
    <mergeCell ref="K1:K3"/>
    <mergeCell ref="M1:M3"/>
    <mergeCell ref="A83:C83"/>
    <mergeCell ref="C9:M9"/>
    <mergeCell ref="K110:O110"/>
    <mergeCell ref="G37:G39"/>
    <mergeCell ref="C53:M53"/>
    <mergeCell ref="A109:C109"/>
    <mergeCell ref="K27:M27"/>
    <mergeCell ref="L79:O80"/>
    <mergeCell ref="J79:K80"/>
    <mergeCell ref="C43:E43"/>
    <mergeCell ref="G43:I43"/>
    <mergeCell ref="C3:I3"/>
    <mergeCell ref="C11:E11"/>
    <mergeCell ref="G11:I11"/>
    <mergeCell ref="G27:I27"/>
    <mergeCell ref="H79:I80"/>
  </mergeCells>
  <conditionalFormatting sqref="M55">
    <cfRule type="expression" dxfId="10" priority="10">
      <formula>$M$55="Direktvermarktung"</formula>
    </cfRule>
  </conditionalFormatting>
  <conditionalFormatting sqref="C9:M15">
    <cfRule type="expression" dxfId="9" priority="9">
      <formula>$C$15=0</formula>
    </cfRule>
  </conditionalFormatting>
  <conditionalFormatting sqref="C17">
    <cfRule type="containsText" dxfId="8" priority="8" operator="containsText" text="100 %">
      <formula>NOT(ISERROR(SEARCH("100 %",C17)))</formula>
    </cfRule>
  </conditionalFormatting>
  <conditionalFormatting sqref="G29:I47">
    <cfRule type="expression" dxfId="7" priority="6">
      <formula>$G$27="Stromspeicher nein"</formula>
    </cfRule>
  </conditionalFormatting>
  <conditionalFormatting sqref="K39:M47 K29:M29">
    <cfRule type="expression" dxfId="6" priority="4">
      <formula>$K$27="Finanzierung Nein"</formula>
    </cfRule>
  </conditionalFormatting>
  <conditionalFormatting sqref="K33:M33">
    <cfRule type="expression" dxfId="5" priority="2">
      <formula>$G$27="Stromspeicher nein"</formula>
    </cfRule>
  </conditionalFormatting>
  <dataValidations count="17">
    <dataValidation allowBlank="1" showInputMessage="1" showErrorMessage="1" promptTitle="Anlagenrendite für 20 Jahre" sqref="K66"/>
    <dataValidation allowBlank="1" showInputMessage="1" showErrorMessage="1" promptTitle="Anlagenrendite für 25 Jahre" sqref="K70"/>
    <dataValidation type="list" allowBlank="1" showInputMessage="1" showErrorMessage="1" sqref="I30:J30">
      <formula1>Solarstrom!#REF!</formula1>
    </dataValidation>
    <dataValidation type="list" allowBlank="1" showInputMessage="1" showErrorMessage="1" sqref="J37:J38 I40">
      <formula1>Bonustermine</formula1>
    </dataValidation>
    <dataValidation type="list" allowBlank="1" showDropDown="1" showInputMessage="1" showErrorMessage="1" sqref="F29:F30 E30">
      <formula1>Liste12</formula1>
    </dataValidation>
    <dataValidation type="list" allowBlank="1" showInputMessage="1" showErrorMessage="1" sqref="F35:F36 E36">
      <formula1>Liste11</formula1>
    </dataValidation>
    <dataValidation type="list" allowBlank="1" showInputMessage="1" showErrorMessage="1" sqref="E29">
      <formula1>$S$83:$S$121</formula1>
    </dataValidation>
    <dataValidation type="list" allowBlank="1" showInputMessage="1" showErrorMessage="1" promptTitle="Anlagenrendite für 25 Jahre" sqref="L70">
      <formula1>Solarstrom!#REF!</formula1>
    </dataValidation>
    <dataValidation type="list" allowBlank="1" showInputMessage="1" showErrorMessage="1" sqref="G27:I27">
      <formula1>Tabelle1!$AB$6:$AB$8</formula1>
    </dataValidation>
    <dataValidation type="list" allowBlank="1" showInputMessage="1" showErrorMessage="1" sqref="K27:M27">
      <formula1>Tabelle1!W5:W6</formula1>
    </dataValidation>
    <dataValidation type="list" allowBlank="1" showInputMessage="1" showErrorMessage="1" sqref="K29">
      <formula1>Tabelle1!$AR$18:$AR$33</formula1>
    </dataValidation>
    <dataValidation type="list" allowBlank="1" showInputMessage="1" showErrorMessage="1" sqref="M29">
      <formula1>Tabelle1!$AJ$10:AJ13</formula1>
    </dataValidation>
    <dataValidation type="list" allowBlank="1" showInputMessage="1" showErrorMessage="1" sqref="K43">
      <formula1>Tabelle1!$A$5:$A$6</formula1>
    </dataValidation>
    <dataValidation type="list" allowBlank="1" showInputMessage="1" showErrorMessage="1" sqref="M21">
      <formula1>Tabelle1!$A$9:$A$10</formula1>
    </dataValidation>
    <dataValidation type="list" allowBlank="1" showInputMessage="1" showErrorMessage="1" sqref="E41">
      <formula1>Tabelle1!$A$12:$A$13</formula1>
    </dataValidation>
    <dataValidation type="list" allowBlank="1" showInputMessage="1" showErrorMessage="1" sqref="I29">
      <formula1>Daten!$T$3:$T$60</formula1>
    </dataValidation>
    <dataValidation type="list" allowBlank="1" showInputMessage="1" showErrorMessage="1" sqref="E35">
      <formula1>Tabelle1!$CC$14:$CD$14</formula1>
    </dataValidation>
  </dataValidations>
  <printOptions horizontalCentered="1" verticalCentered="1"/>
  <pageMargins left="0.55118110236220474" right="0" top="0.59055118110236227" bottom="3.937007874015748E-2" header="0" footer="0.19685039370078741"/>
  <pageSetup paperSize="9" scale="36" pageOrder="overThenDown" orientation="portrait" cellComments="asDisplayed" errors="blank" r:id="rId1"/>
  <headerFooter alignWithMargins="0">
    <oddHeader xml:space="preserve">&amp;C&amp;"Arial,Fett"&amp;12
&amp;20Kosten- Ertragskalkulation&amp;R&amp;G
&amp;D
</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sheetPr codeName="Tabelle4">
    <tabColor rgb="FF00B0F0"/>
    <pageSetUpPr fitToPage="1"/>
  </sheetPr>
  <dimension ref="A1:H69"/>
  <sheetViews>
    <sheetView showGridLines="0" workbookViewId="0">
      <selection activeCell="C2" sqref="C2"/>
    </sheetView>
  </sheetViews>
  <sheetFormatPr baseColWidth="10" defaultColWidth="10.85546875" defaultRowHeight="15"/>
  <cols>
    <col min="1" max="1" width="1.7109375" style="535" customWidth="1"/>
    <col min="2" max="2" width="29.140625" style="535" bestFit="1" customWidth="1"/>
    <col min="3" max="3" width="21.140625" style="535" customWidth="1"/>
    <col min="4" max="4" width="21.42578125" style="535" customWidth="1"/>
    <col min="5" max="5" width="24.42578125" style="535" customWidth="1"/>
    <col min="6" max="6" width="13.7109375" style="535" customWidth="1"/>
    <col min="7" max="7" width="14.7109375" style="534" customWidth="1"/>
    <col min="8" max="8" width="13.85546875" style="534" customWidth="1"/>
    <col min="9" max="16384" width="10.85546875" style="535"/>
  </cols>
  <sheetData>
    <row r="1" spans="1:8" ht="25.5" customHeight="1">
      <c r="A1" s="531"/>
      <c r="B1" s="532"/>
      <c r="C1" s="532"/>
      <c r="D1" s="532"/>
      <c r="E1" s="772" t="s">
        <v>295</v>
      </c>
      <c r="F1" s="772"/>
      <c r="G1" s="772"/>
      <c r="H1" s="533"/>
    </row>
    <row r="2" spans="1:8" ht="27.75" customHeight="1">
      <c r="A2" s="536"/>
      <c r="B2" s="537" t="s">
        <v>20</v>
      </c>
      <c r="C2" s="696">
        <v>4000</v>
      </c>
      <c r="D2" s="537" t="s">
        <v>297</v>
      </c>
      <c r="E2" s="773" t="s">
        <v>298</v>
      </c>
      <c r="F2" s="773"/>
      <c r="G2" s="538" t="s">
        <v>65</v>
      </c>
      <c r="H2" s="539"/>
    </row>
    <row r="3" spans="1:8" ht="27.75" customHeight="1">
      <c r="A3" s="536"/>
      <c r="B3" s="537" t="s">
        <v>96</v>
      </c>
      <c r="C3" s="540">
        <v>910</v>
      </c>
      <c r="D3" s="541">
        <f>C3*C4</f>
        <v>4000.0000000000005</v>
      </c>
      <c r="E3" s="541">
        <f ca="1">IFERROR(C3*C4*((F3/100)),"Ausserhalb der Auslegung")</f>
        <v>2320</v>
      </c>
      <c r="F3" s="614">
        <f ca="1">IFERROR(Daten!CA32,"Ausserhalb der Auslegung")</f>
        <v>58</v>
      </c>
      <c r="G3" s="709">
        <f ca="1">IFERROR(E3/C2,"Ausserhalb der Auslegung")</f>
        <v>0.57999999999999996</v>
      </c>
      <c r="H3" s="539"/>
    </row>
    <row r="4" spans="1:8" ht="30">
      <c r="A4" s="536"/>
      <c r="B4" s="542" t="s">
        <v>300</v>
      </c>
      <c r="C4" s="543">
        <f>(C2/C3)+Daten!BG34</f>
        <v>4.395604395604396</v>
      </c>
      <c r="D4" s="697">
        <f>ROUND($C$4/(VLOOKUP($E$4,Solarstrom!S83:U121,2,FALSE)/1000),0)</f>
        <v>17</v>
      </c>
      <c r="E4" s="698" t="str">
        <f>Solarstrom!E29</f>
        <v>Suntellite ZDNY-260 Wp</v>
      </c>
      <c r="F4" s="545"/>
      <c r="G4" s="545"/>
      <c r="H4" s="539"/>
    </row>
    <row r="5" spans="1:8" ht="30" customHeight="1">
      <c r="A5" s="536"/>
      <c r="B5" s="537" t="s">
        <v>302</v>
      </c>
      <c r="C5" s="546">
        <v>1.1499999999999999</v>
      </c>
      <c r="D5" s="610" t="str">
        <f>VLOOKUP(C5,Daten!CX4:CY16,2,0)</f>
        <v>mehr Tagesverbrauch</v>
      </c>
      <c r="E5" s="542" t="s">
        <v>303</v>
      </c>
      <c r="F5" s="547">
        <f>$C$2/1000*$C$5</f>
        <v>4.5999999999999996</v>
      </c>
      <c r="G5" s="544"/>
      <c r="H5" s="539"/>
    </row>
    <row r="6" spans="1:8">
      <c r="A6" s="536"/>
      <c r="B6" s="548"/>
      <c r="C6" s="548"/>
      <c r="D6" s="548"/>
      <c r="E6" s="548"/>
      <c r="F6" s="544"/>
      <c r="G6" s="544"/>
      <c r="H6" s="539"/>
    </row>
    <row r="7" spans="1:8" ht="35.25" customHeight="1">
      <c r="A7" s="536"/>
      <c r="B7" s="549" t="s">
        <v>305</v>
      </c>
      <c r="C7" s="617" t="s">
        <v>444</v>
      </c>
      <c r="D7" s="550" t="s">
        <v>307</v>
      </c>
      <c r="E7" s="548"/>
      <c r="F7" s="672" t="s">
        <v>455</v>
      </c>
      <c r="G7" s="672" t="s">
        <v>448</v>
      </c>
      <c r="H7" s="551" t="s">
        <v>308</v>
      </c>
    </row>
    <row r="8" spans="1:8" ht="30" customHeight="1">
      <c r="A8" s="536"/>
      <c r="B8" s="774" t="s">
        <v>583</v>
      </c>
      <c r="C8" s="774"/>
      <c r="D8" s="552">
        <f>VLOOKUP(B8,Daten!T3:$AA$60,6,0)+D23</f>
        <v>4.6000000000000005</v>
      </c>
      <c r="E8" s="537" t="s">
        <v>309</v>
      </c>
      <c r="F8" s="553">
        <f>VLOOKUP($B$8,Daten!$T$3:$AA$60,7,0)</f>
        <v>2.5</v>
      </c>
      <c r="G8" s="553">
        <f>VLOOKUP($B$8,Daten!$T$3:$AC$60,Daten!AC1,0)</f>
        <v>0</v>
      </c>
      <c r="H8" s="553">
        <f>F8+F21</f>
        <v>2.5</v>
      </c>
    </row>
    <row r="9" spans="1:8" ht="30" customHeight="1">
      <c r="A9" s="536"/>
      <c r="B9" s="537" t="s">
        <v>313</v>
      </c>
      <c r="C9" s="553" t="str">
        <f>VLOOKUP($B$8,Daten!$T$3:$AA$60,4,0)</f>
        <v>LiNiMnCo</v>
      </c>
      <c r="D9" s="548"/>
      <c r="E9" s="537" t="s">
        <v>311</v>
      </c>
      <c r="F9" s="553">
        <f>VLOOKUP($B$8,Daten!$T$3:$AA$60,8,0)</f>
        <v>2.5</v>
      </c>
      <c r="G9" s="553">
        <f>VLOOKUP($B$8,Daten!$T$3:$AC$60,Daten!AC1,0)</f>
        <v>0</v>
      </c>
      <c r="H9" s="553">
        <f>F9+F22</f>
        <v>2.5</v>
      </c>
    </row>
    <row r="10" spans="1:8">
      <c r="A10" s="536"/>
      <c r="B10" s="537"/>
      <c r="C10" s="548"/>
      <c r="D10" s="548"/>
      <c r="E10" s="615" t="s">
        <v>470</v>
      </c>
      <c r="F10" s="679" t="str">
        <f>VLOOKUP(B8,Daten!$T$3:$AU$60,Daten!AJ1,0)</f>
        <v>69 x  47 x 29 cm²; 69 kg</v>
      </c>
      <c r="G10" s="553"/>
      <c r="H10" s="553"/>
    </row>
    <row r="11" spans="1:8" ht="22.5" customHeight="1">
      <c r="A11" s="536"/>
      <c r="B11" s="537"/>
      <c r="C11" s="544"/>
      <c r="D11" s="548"/>
      <c r="E11" s="544"/>
      <c r="F11" s="544"/>
      <c r="G11" s="544"/>
      <c r="H11" s="544"/>
    </row>
    <row r="12" spans="1:8" ht="30">
      <c r="A12" s="536"/>
      <c r="B12" s="670" t="s">
        <v>453</v>
      </c>
      <c r="C12" s="671" t="s">
        <v>314</v>
      </c>
      <c r="D12" s="615" t="s">
        <v>354</v>
      </c>
      <c r="E12" s="554" t="s">
        <v>361</v>
      </c>
      <c r="F12" s="778" t="str">
        <f>Daten!AI2</f>
        <v>Förderung nach EEG 2016</v>
      </c>
      <c r="G12" s="778"/>
      <c r="H12" s="556" t="str">
        <f>VLOOKUP(B8,Daten!T3:AU60,Daten!AI1,0)</f>
        <v>Ja</v>
      </c>
    </row>
    <row r="13" spans="1:8" ht="17.25" customHeight="1">
      <c r="A13" s="536"/>
      <c r="B13" s="670"/>
      <c r="C13" s="673"/>
      <c r="D13" s="615" t="s">
        <v>505</v>
      </c>
      <c r="E13" s="700" t="str">
        <f>Daten!F3&amp;" kWp / "&amp;Daten!E3</f>
        <v>0 kWp / 0</v>
      </c>
      <c r="F13" s="699"/>
      <c r="G13" s="699"/>
      <c r="H13" s="699"/>
    </row>
    <row r="14" spans="1:8" ht="17.25" customHeight="1">
      <c r="A14" s="536"/>
      <c r="B14" s="701"/>
      <c r="C14" s="779" t="s">
        <v>500</v>
      </c>
      <c r="D14" s="674"/>
      <c r="E14" s="775" t="s">
        <v>461</v>
      </c>
      <c r="F14" s="776"/>
      <c r="G14" s="775" t="s">
        <v>460</v>
      </c>
      <c r="H14" s="776"/>
    </row>
    <row r="15" spans="1:8" ht="17.25" customHeight="1">
      <c r="A15" s="536"/>
      <c r="B15" s="702"/>
      <c r="C15" s="780"/>
      <c r="D15" s="674"/>
      <c r="E15" s="675" t="s">
        <v>447</v>
      </c>
      <c r="F15" s="676" t="s">
        <v>448</v>
      </c>
      <c r="G15" s="675" t="s">
        <v>460</v>
      </c>
      <c r="H15" s="676" t="s">
        <v>448</v>
      </c>
    </row>
    <row r="16" spans="1:8" ht="17.25" customHeight="1">
      <c r="A16" s="536"/>
      <c r="B16" s="615" t="s">
        <v>498</v>
      </c>
      <c r="C16" s="553">
        <f>VLOOKUP($E$12,Daten!$D$5:$N$38,10,0)</f>
        <v>3.6</v>
      </c>
      <c r="D16" s="537" t="s">
        <v>317</v>
      </c>
      <c r="E16" s="555">
        <f>IFERROR(VLOOKUP($E$12,Daten!$D$5:$S$60,Daten!G1,0),0)</f>
        <v>3.3</v>
      </c>
      <c r="F16" s="555">
        <f>IFERROR(VLOOKUP($E$12,Daten!$D$5:$S$60,Daten!H1,0),0)</f>
        <v>5.5</v>
      </c>
      <c r="G16" s="555">
        <f>IFERROR(VLOOKUP($E$12,Daten!$D$5:$S$60,Daten!I1,0),0)</f>
        <v>3.3</v>
      </c>
      <c r="H16" s="555">
        <f>IFERROR(VLOOKUP($E$12,Daten!$D$5:$S$60,Daten!J1,0),0)</f>
        <v>5.5</v>
      </c>
    </row>
    <row r="17" spans="1:8" ht="17.25" customHeight="1">
      <c r="A17" s="536"/>
      <c r="B17" s="615" t="s">
        <v>499</v>
      </c>
      <c r="C17" s="553">
        <f>VLOOKUP($E$12,Daten!$D$5:$N$38,10,0)</f>
        <v>3.6</v>
      </c>
      <c r="D17" s="537" t="s">
        <v>318</v>
      </c>
      <c r="E17" s="557">
        <f>IFERROR(VLOOKUP($E$12,Daten!$D$5:$S$60,Daten!Q1,0),"")</f>
        <v>1</v>
      </c>
      <c r="F17" s="544"/>
      <c r="G17" s="544"/>
      <c r="H17" s="544"/>
    </row>
    <row r="18" spans="1:8" ht="17.25" customHeight="1">
      <c r="A18" s="536"/>
      <c r="B18" s="544"/>
      <c r="C18" s="544"/>
      <c r="D18" s="537" t="s">
        <v>320</v>
      </c>
      <c r="E18" s="557" t="str">
        <f>IFERROR(VLOOKUP($E$12,Daten!$D$5:$S$60,Daten!R1,0),"")</f>
        <v>ja, Haus-Netz</v>
      </c>
      <c r="F18" s="615" t="s">
        <v>470</v>
      </c>
      <c r="G18" s="679" t="str">
        <f>VLOOKUP(E12,Daten!D3:K34,Daten!K1,0)</f>
        <v>61,2 x 46,7 x 24,2 cm³; 44 kg</v>
      </c>
      <c r="H18" s="678"/>
    </row>
    <row r="19" spans="1:8" ht="17.25" customHeight="1">
      <c r="A19" s="536"/>
      <c r="B19" s="677"/>
      <c r="C19" s="677"/>
      <c r="D19" s="677"/>
      <c r="E19" s="677"/>
      <c r="F19" s="677"/>
      <c r="G19" s="544"/>
      <c r="H19" s="544"/>
    </row>
    <row r="20" spans="1:8" ht="17.25" customHeight="1">
      <c r="A20" s="536"/>
      <c r="B20" s="537" t="s">
        <v>322</v>
      </c>
      <c r="C20" s="558" t="s">
        <v>306</v>
      </c>
      <c r="D20" s="537" t="s">
        <v>307</v>
      </c>
      <c r="E20" s="544"/>
      <c r="F20" s="675" t="s">
        <v>447</v>
      </c>
      <c r="G20" s="675" t="s">
        <v>448</v>
      </c>
      <c r="H20" s="539"/>
    </row>
    <row r="21" spans="1:8">
      <c r="A21" s="536"/>
      <c r="B21" s="774" t="s">
        <v>528</v>
      </c>
      <c r="C21" s="774"/>
      <c r="D21" s="547">
        <f>IFERROR(VLOOKUP(B21,Daten!$V$3:$Y$60,4,0),0)</f>
        <v>5.4</v>
      </c>
      <c r="E21" s="537" t="s">
        <v>309</v>
      </c>
      <c r="F21" s="553">
        <f>IFERROR(IF(AND(C23&lt;=C22,Daten!DA3="x"),VLOOKUP($B$21,Daten!$V$3:$AA$60,5,0)*$C$23,VLOOKUP($B$21,Daten!$V$3:$AA$60,5,0)*$C$22),0)</f>
        <v>0</v>
      </c>
      <c r="G21" s="553" t="str">
        <f>IFERROR("",VLOOKUP($B$21,Daten!$V$3:$AC$60,7,0)*C23)</f>
        <v/>
      </c>
      <c r="H21" s="539"/>
    </row>
    <row r="22" spans="1:8">
      <c r="A22" s="536"/>
      <c r="B22" s="537" t="s">
        <v>323</v>
      </c>
      <c r="C22" s="559">
        <f>VLOOKUP($B$8,Daten!$T$3:$AK$60,Daten!AF1,0)</f>
        <v>6</v>
      </c>
      <c r="D22" s="560"/>
      <c r="E22" s="537" t="s">
        <v>311</v>
      </c>
      <c r="F22" s="553">
        <f>IFERROR(IF(AND(C23&lt;=C22,Daten!DA3="x"),VLOOKUP($B$21,Daten!$V$3:$AA$62,6,0)*$C$23,VLOOKUP($B$21,Daten!$V$3:$AA$45,6,0)*$C$22),0)</f>
        <v>0</v>
      </c>
      <c r="G22" s="553" t="str">
        <f>IFERROR("",VLOOKUP($B$21,Daten!$V$3:$AC$60,7,0)*C23)</f>
        <v/>
      </c>
      <c r="H22" s="539"/>
    </row>
    <row r="23" spans="1:8" ht="17.25" customHeight="1">
      <c r="A23" s="561"/>
      <c r="B23" s="615" t="s">
        <v>443</v>
      </c>
      <c r="C23" s="554">
        <v>0</v>
      </c>
      <c r="D23" s="547">
        <f>IFERROR(IF(C23&lt;=C22,C23*D21,0),"")</f>
        <v>0</v>
      </c>
      <c r="E23" s="537" t="s">
        <v>463</v>
      </c>
      <c r="F23" s="777" t="str">
        <f>IFERROR("",VLOOKUP(B21,Daten!V3:AM60,Daten!AJ1-2,0))</f>
        <v/>
      </c>
      <c r="G23" s="777"/>
      <c r="H23" s="539"/>
    </row>
    <row r="24" spans="1:8" ht="17.25" customHeight="1">
      <c r="A24" s="562"/>
      <c r="B24" s="562"/>
      <c r="C24" s="563"/>
      <c r="D24" s="562"/>
      <c r="E24" s="563"/>
      <c r="F24" s="563"/>
      <c r="G24" s="563"/>
      <c r="H24" s="564"/>
    </row>
    <row r="25" spans="1:8" ht="17.25" customHeight="1">
      <c r="B25" s="770" t="s">
        <v>324</v>
      </c>
      <c r="C25" s="770"/>
      <c r="D25" s="770"/>
      <c r="E25" s="770"/>
      <c r="F25" s="770"/>
      <c r="G25" s="616">
        <v>42650</v>
      </c>
      <c r="H25" s="566"/>
    </row>
    <row r="26" spans="1:8" ht="17.25" customHeight="1">
      <c r="B26" s="771"/>
      <c r="C26" s="771"/>
      <c r="D26" s="771"/>
      <c r="E26" s="771"/>
      <c r="F26" s="771"/>
      <c r="G26" s="567"/>
      <c r="H26" s="565"/>
    </row>
    <row r="27" spans="1:8" ht="12.75" customHeight="1">
      <c r="B27" s="567"/>
      <c r="C27" s="565"/>
      <c r="D27" s="565"/>
      <c r="E27" s="565"/>
      <c r="F27" s="565"/>
      <c r="G27" s="565"/>
      <c r="H27" s="565"/>
    </row>
    <row r="28" spans="1:8" ht="12.75" customHeight="1">
      <c r="B28" s="567"/>
      <c r="C28" s="565"/>
      <c r="D28" s="565"/>
      <c r="E28" s="565"/>
      <c r="F28" s="565"/>
      <c r="G28" s="565"/>
    </row>
    <row r="29" spans="1:8" ht="12.75" customHeight="1">
      <c r="B29" s="567"/>
      <c r="C29" s="565"/>
      <c r="D29" s="565"/>
      <c r="E29" s="565"/>
      <c r="F29" s="565"/>
      <c r="G29" s="565"/>
    </row>
    <row r="30" spans="1:8" ht="12.75" customHeight="1">
      <c r="B30" s="567"/>
      <c r="C30" s="565"/>
      <c r="D30" s="568"/>
      <c r="E30" s="568"/>
      <c r="F30" s="568"/>
      <c r="G30" s="568"/>
    </row>
    <row r="31" spans="1:8" ht="12.75" customHeight="1">
      <c r="B31" s="567"/>
      <c r="C31" s="565"/>
      <c r="D31" s="568"/>
      <c r="E31" s="568"/>
      <c r="F31" s="565"/>
      <c r="G31" s="566"/>
    </row>
    <row r="32" spans="1:8" ht="12.75" customHeight="1">
      <c r="D32" s="569"/>
      <c r="E32" s="569"/>
    </row>
    <row r="33" spans="1:6">
      <c r="D33" s="569"/>
      <c r="E33" s="569"/>
    </row>
    <row r="34" spans="1:6">
      <c r="A34" s="534"/>
    </row>
    <row r="35" spans="1:6">
      <c r="A35" s="534"/>
      <c r="B35" s="534"/>
      <c r="C35" s="534"/>
      <c r="D35" s="534"/>
      <c r="E35" s="534"/>
      <c r="F35" s="534"/>
    </row>
    <row r="36" spans="1:6">
      <c r="A36" s="534"/>
      <c r="B36" s="534"/>
      <c r="C36" s="534"/>
      <c r="D36" s="534"/>
      <c r="E36" s="534"/>
      <c r="F36" s="534"/>
    </row>
    <row r="37" spans="1:6">
      <c r="A37" s="534"/>
      <c r="B37" s="534"/>
      <c r="C37" s="534"/>
      <c r="D37" s="534"/>
      <c r="E37" s="534"/>
      <c r="F37" s="534"/>
    </row>
    <row r="38" spans="1:6">
      <c r="A38" s="534"/>
      <c r="B38" s="534"/>
      <c r="C38" s="534"/>
      <c r="D38" s="534"/>
      <c r="E38" s="534"/>
      <c r="F38" s="534"/>
    </row>
    <row r="39" spans="1:6">
      <c r="A39" s="534"/>
      <c r="B39" s="534"/>
      <c r="C39" s="534"/>
      <c r="D39" s="534"/>
      <c r="E39" s="534"/>
      <c r="F39" s="534"/>
    </row>
    <row r="40" spans="1:6">
      <c r="A40" s="534"/>
      <c r="B40" s="534"/>
      <c r="C40" s="534"/>
      <c r="D40" s="534"/>
      <c r="E40" s="534"/>
      <c r="F40" s="534"/>
    </row>
    <row r="41" spans="1:6">
      <c r="A41" s="534"/>
      <c r="B41" s="534"/>
      <c r="C41" s="534"/>
      <c r="D41" s="534"/>
      <c r="E41" s="534"/>
      <c r="F41" s="534"/>
    </row>
    <row r="42" spans="1:6">
      <c r="A42" s="534"/>
      <c r="B42" s="534"/>
      <c r="C42" s="534"/>
      <c r="D42" s="534"/>
      <c r="E42" s="534"/>
      <c r="F42" s="534"/>
    </row>
    <row r="43" spans="1:6">
      <c r="A43" s="534"/>
      <c r="B43" s="534"/>
      <c r="C43" s="534"/>
      <c r="D43" s="534"/>
      <c r="E43" s="534"/>
      <c r="F43" s="534"/>
    </row>
    <row r="44" spans="1:6">
      <c r="A44" s="534"/>
      <c r="B44" s="534"/>
      <c r="C44" s="534"/>
      <c r="D44" s="534"/>
      <c r="E44" s="534"/>
      <c r="F44" s="534"/>
    </row>
    <row r="45" spans="1:6">
      <c r="A45" s="534"/>
      <c r="B45" s="534"/>
      <c r="C45" s="534"/>
      <c r="D45" s="534"/>
      <c r="E45" s="534"/>
      <c r="F45" s="534"/>
    </row>
    <row r="46" spans="1:6">
      <c r="A46" s="534"/>
      <c r="B46" s="534"/>
      <c r="C46" s="534"/>
      <c r="D46" s="534"/>
      <c r="E46" s="534"/>
      <c r="F46" s="534"/>
    </row>
    <row r="47" spans="1:6">
      <c r="A47" s="534"/>
      <c r="B47" s="534"/>
      <c r="C47" s="534"/>
      <c r="D47" s="534"/>
      <c r="E47" s="534"/>
      <c r="F47" s="534"/>
    </row>
    <row r="48" spans="1:6">
      <c r="A48" s="534"/>
      <c r="B48" s="534"/>
      <c r="C48" s="534"/>
      <c r="D48" s="534"/>
      <c r="E48" s="534"/>
      <c r="F48" s="534"/>
    </row>
    <row r="49" spans="1:6">
      <c r="A49" s="534"/>
      <c r="B49" s="534"/>
      <c r="C49" s="534"/>
      <c r="D49" s="534"/>
      <c r="E49" s="534"/>
      <c r="F49" s="534"/>
    </row>
    <row r="50" spans="1:6">
      <c r="A50" s="534"/>
      <c r="B50" s="534"/>
      <c r="C50" s="534"/>
      <c r="D50" s="534"/>
      <c r="E50" s="534"/>
      <c r="F50" s="534"/>
    </row>
    <row r="51" spans="1:6">
      <c r="A51" s="534"/>
      <c r="B51" s="534"/>
      <c r="C51" s="534"/>
      <c r="D51" s="534"/>
      <c r="E51" s="534"/>
      <c r="F51" s="534"/>
    </row>
    <row r="52" spans="1:6">
      <c r="A52" s="534"/>
      <c r="B52" s="534"/>
      <c r="C52" s="534"/>
      <c r="D52" s="534"/>
      <c r="E52" s="534"/>
      <c r="F52" s="534"/>
    </row>
    <row r="53" spans="1:6">
      <c r="A53" s="534"/>
      <c r="B53" s="534"/>
      <c r="C53" s="534"/>
      <c r="D53" s="534"/>
      <c r="E53" s="534"/>
      <c r="F53" s="534"/>
    </row>
    <row r="54" spans="1:6">
      <c r="A54" s="534"/>
      <c r="B54" s="534"/>
      <c r="C54" s="534"/>
      <c r="D54" s="534"/>
      <c r="E54" s="534"/>
      <c r="F54" s="534"/>
    </row>
    <row r="55" spans="1:6">
      <c r="A55" s="534"/>
      <c r="B55" s="534"/>
      <c r="C55" s="534"/>
      <c r="D55" s="534"/>
      <c r="E55" s="534"/>
      <c r="F55" s="534"/>
    </row>
    <row r="56" spans="1:6">
      <c r="A56" s="534"/>
      <c r="B56" s="534"/>
      <c r="C56" s="534"/>
      <c r="D56" s="534"/>
      <c r="E56" s="534"/>
      <c r="F56" s="534"/>
    </row>
    <row r="57" spans="1:6">
      <c r="A57" s="534"/>
      <c r="B57" s="534"/>
      <c r="C57" s="534"/>
      <c r="D57" s="534"/>
      <c r="E57" s="534"/>
      <c r="F57" s="534"/>
    </row>
    <row r="58" spans="1:6">
      <c r="A58" s="534"/>
      <c r="B58" s="534"/>
      <c r="C58" s="534"/>
      <c r="D58" s="534"/>
      <c r="E58" s="534"/>
      <c r="F58" s="534"/>
    </row>
    <row r="59" spans="1:6">
      <c r="A59" s="534"/>
      <c r="B59" s="534"/>
      <c r="C59" s="534"/>
      <c r="D59" s="534"/>
      <c r="E59" s="534"/>
      <c r="F59" s="534"/>
    </row>
    <row r="60" spans="1:6">
      <c r="A60" s="534"/>
      <c r="B60" s="534"/>
      <c r="C60" s="534"/>
      <c r="D60" s="534"/>
      <c r="E60" s="534"/>
      <c r="F60" s="534"/>
    </row>
    <row r="61" spans="1:6">
      <c r="A61" s="534"/>
      <c r="B61" s="534"/>
      <c r="C61" s="534"/>
      <c r="D61" s="534"/>
      <c r="E61" s="534"/>
      <c r="F61" s="534"/>
    </row>
    <row r="62" spans="1:6">
      <c r="A62" s="534"/>
      <c r="B62" s="534"/>
      <c r="C62" s="534"/>
      <c r="D62" s="534"/>
      <c r="E62" s="534"/>
      <c r="F62" s="534"/>
    </row>
    <row r="63" spans="1:6">
      <c r="A63" s="534"/>
      <c r="B63" s="534"/>
      <c r="C63" s="534"/>
      <c r="D63" s="534"/>
      <c r="E63" s="534"/>
      <c r="F63" s="534"/>
    </row>
    <row r="64" spans="1:6">
      <c r="A64" s="534"/>
      <c r="B64" s="534"/>
      <c r="C64" s="534"/>
      <c r="D64" s="534"/>
      <c r="E64" s="534"/>
      <c r="F64" s="534"/>
    </row>
    <row r="65" spans="1:6">
      <c r="A65" s="534"/>
      <c r="B65" s="534"/>
      <c r="C65" s="534"/>
      <c r="D65" s="534"/>
      <c r="E65" s="534"/>
      <c r="F65" s="534"/>
    </row>
    <row r="66" spans="1:6">
      <c r="A66" s="534"/>
      <c r="B66" s="534"/>
      <c r="C66" s="534"/>
      <c r="D66" s="534"/>
      <c r="E66" s="534"/>
      <c r="F66" s="534"/>
    </row>
    <row r="67" spans="1:6">
      <c r="A67" s="534"/>
      <c r="B67" s="534"/>
      <c r="C67" s="534"/>
      <c r="D67" s="534"/>
      <c r="E67" s="534"/>
      <c r="F67" s="534"/>
    </row>
    <row r="68" spans="1:6">
      <c r="A68" s="534"/>
      <c r="B68" s="534"/>
      <c r="C68" s="534"/>
      <c r="D68" s="534"/>
      <c r="E68" s="534"/>
      <c r="F68" s="534"/>
    </row>
    <row r="69" spans="1:6">
      <c r="B69" s="534"/>
      <c r="C69" s="534"/>
      <c r="D69" s="534"/>
      <c r="E69" s="534"/>
      <c r="F69" s="534"/>
    </row>
  </sheetData>
  <sheetProtection password="F0B6" sheet="1" objects="1" scenarios="1" selectLockedCells="1"/>
  <mergeCells count="10">
    <mergeCell ref="B25:F26"/>
    <mergeCell ref="E1:G1"/>
    <mergeCell ref="E2:F2"/>
    <mergeCell ref="B8:C8"/>
    <mergeCell ref="B21:C21"/>
    <mergeCell ref="E14:F14"/>
    <mergeCell ref="G14:H14"/>
    <mergeCell ref="F23:G23"/>
    <mergeCell ref="F12:G12"/>
    <mergeCell ref="C14:C15"/>
  </mergeCells>
  <conditionalFormatting sqref="C23">
    <cfRule type="cellIs" dxfId="4" priority="2" operator="greaterThan">
      <formula>$C$22</formula>
    </cfRule>
  </conditionalFormatting>
  <conditionalFormatting sqref="D8">
    <cfRule type="colorScale" priority="11">
      <colorScale>
        <cfvo type="formula" val="'Auslegung Stromspeicher'!$D$8*1.1"/>
        <cfvo type="formula" val="'Auslegung Stromspeicher'!$F$5*1.1"/>
        <color rgb="FF00B050"/>
        <color rgb="FFFF0000"/>
      </colorScale>
    </cfRule>
  </conditionalFormatting>
  <dataValidations count="6">
    <dataValidation showInputMessage="1" showErrorMessage="1" sqref="H12"/>
    <dataValidation type="list" allowBlank="1" showInputMessage="1" showErrorMessage="1" sqref="C5">
      <formula1>Daten!$CX$4:$CX$16</formula1>
    </dataValidation>
    <dataValidation type="list" allowBlank="1" showInputMessage="1" showErrorMessage="1" sqref="B8:C8">
      <formula1>Daten!$T$3:$T$60</formula1>
    </dataValidation>
    <dataValidation type="list" allowBlank="1" showInputMessage="1" showErrorMessage="1" sqref="C12">
      <formula1>Daten!$DH$3:$DH$6</formula1>
    </dataValidation>
    <dataValidation type="list" allowBlank="1" showInputMessage="1" showErrorMessage="1" sqref="E12">
      <formula1>Daten!$CV$3:$CV$10</formula1>
    </dataValidation>
    <dataValidation type="list" allowBlank="1" showInputMessage="1" showErrorMessage="1" sqref="B21:C21">
      <formula1>Daten!$DO$3:$DO$9</formula1>
    </dataValidation>
  </dataValidations>
  <pageMargins left="0.70866141732283472" right="0.70866141732283472" top="0.78740157480314965" bottom="0.78740157480314965" header="0.31496062992125984" footer="0.31496062992125984"/>
  <pageSetup paperSize="9" scale="72" orientation="portrait" r:id="rId1"/>
  <legacyDrawing r:id="rId2"/>
</worksheet>
</file>

<file path=xl/worksheets/sheet4.xml><?xml version="1.0" encoding="utf-8"?>
<worksheet xmlns="http://schemas.openxmlformats.org/spreadsheetml/2006/main" xmlns:r="http://schemas.openxmlformats.org/officeDocument/2006/relationships">
  <sheetPr codeName="Tabelle3">
    <tabColor indexed="50"/>
    <pageSetUpPr fitToPage="1"/>
  </sheetPr>
  <dimension ref="A33:L69"/>
  <sheetViews>
    <sheetView showGridLines="0" zoomScale="60" zoomScaleNormal="60" zoomScalePageLayoutView="60" workbookViewId="0">
      <selection activeCell="C49" sqref="C49:D50"/>
    </sheetView>
  </sheetViews>
  <sheetFormatPr baseColWidth="10" defaultRowHeight="12.75"/>
  <cols>
    <col min="1" max="1" width="33.140625" style="306" bestFit="1" customWidth="1"/>
    <col min="2" max="2" width="22.42578125" style="306" bestFit="1" customWidth="1"/>
    <col min="3" max="3" width="13.42578125" style="306" customWidth="1"/>
    <col min="4" max="4" width="14.140625" style="306" customWidth="1"/>
    <col min="5" max="5" width="22.42578125" style="306" bestFit="1" customWidth="1"/>
    <col min="6" max="6" width="21.28515625" style="306" bestFit="1" customWidth="1"/>
    <col min="7" max="7" width="14" style="306" bestFit="1" customWidth="1"/>
    <col min="8" max="12" width="10.85546875" style="571" customWidth="1"/>
    <col min="13" max="14" width="10.85546875" style="306" customWidth="1"/>
    <col min="15" max="16384" width="11.42578125" style="306"/>
  </cols>
  <sheetData>
    <row r="33" spans="1:12" ht="14.25">
      <c r="B33" s="570"/>
      <c r="C33" s="570"/>
      <c r="D33" s="570"/>
      <c r="E33" s="570"/>
    </row>
    <row r="34" spans="1:12" ht="23.25">
      <c r="A34" s="572"/>
      <c r="B34" s="690" t="s">
        <v>325</v>
      </c>
      <c r="C34" s="587"/>
      <c r="D34" s="587"/>
      <c r="E34" s="690" t="str">
        <f>IF(Solarwärme!J33=0,"Solares Duschen","Solares Heizen")</f>
        <v>Solares Heizen</v>
      </c>
      <c r="F34" s="586"/>
      <c r="G34" s="572"/>
    </row>
    <row r="35" spans="1:12" ht="15">
      <c r="A35" s="573"/>
      <c r="B35" s="691"/>
      <c r="C35" s="573"/>
      <c r="D35" s="573"/>
      <c r="E35" s="691"/>
      <c r="F35" s="573"/>
      <c r="G35" s="573"/>
    </row>
    <row r="36" spans="1:12" ht="23.25">
      <c r="A36" s="689" t="s">
        <v>326</v>
      </c>
      <c r="B36" s="692">
        <f>Solarstrom!E59</f>
        <v>187.45</v>
      </c>
      <c r="C36" s="586"/>
      <c r="D36" s="586"/>
      <c r="E36" s="692">
        <f>Solarwärme!J32</f>
        <v>14</v>
      </c>
      <c r="F36" s="586"/>
      <c r="G36" s="572"/>
    </row>
    <row r="37" spans="1:12" ht="15">
      <c r="A37" s="575"/>
      <c r="B37" s="576"/>
      <c r="C37" s="577"/>
      <c r="D37" s="577"/>
      <c r="E37" s="576"/>
      <c r="F37" s="577"/>
      <c r="G37" s="577"/>
    </row>
    <row r="38" spans="1:12" ht="15">
      <c r="A38" s="575"/>
      <c r="B38" s="576"/>
      <c r="C38" s="577"/>
      <c r="D38" s="577"/>
      <c r="E38" s="576"/>
      <c r="F38" s="577"/>
      <c r="G38" s="577"/>
    </row>
    <row r="39" spans="1:12" ht="15">
      <c r="A39" s="575"/>
      <c r="B39" s="576"/>
      <c r="C39" s="577"/>
      <c r="D39" s="577"/>
      <c r="E39" s="576"/>
      <c r="F39" s="577"/>
      <c r="G39" s="577"/>
    </row>
    <row r="40" spans="1:12" ht="15">
      <c r="A40" s="575"/>
      <c r="B40" s="576"/>
      <c r="C40" s="577"/>
      <c r="D40" s="577"/>
      <c r="E40" s="576"/>
      <c r="F40" s="577"/>
      <c r="G40" s="577"/>
    </row>
    <row r="41" spans="1:12" ht="15">
      <c r="A41" s="575"/>
      <c r="B41" s="576"/>
      <c r="C41" s="577"/>
      <c r="D41" s="577"/>
      <c r="E41" s="576"/>
      <c r="F41" s="577"/>
      <c r="G41" s="577"/>
    </row>
    <row r="42" spans="1:12" ht="15">
      <c r="A42" s="575"/>
      <c r="B42" s="576"/>
      <c r="C42" s="577"/>
      <c r="D42" s="577"/>
      <c r="E42" s="576"/>
      <c r="F42" s="577"/>
      <c r="G42" s="577"/>
    </row>
    <row r="43" spans="1:12" ht="15">
      <c r="A43" s="575"/>
      <c r="B43" s="576"/>
      <c r="C43" s="577"/>
      <c r="D43" s="577"/>
      <c r="E43" s="576"/>
      <c r="F43" s="577"/>
      <c r="G43" s="577"/>
    </row>
    <row r="44" spans="1:12" ht="15">
      <c r="A44" s="575"/>
      <c r="B44" s="576"/>
      <c r="C44" s="577"/>
      <c r="D44" s="577"/>
      <c r="E44" s="576"/>
      <c r="F44" s="577"/>
      <c r="G44" s="577"/>
    </row>
    <row r="45" spans="1:12" ht="23.25">
      <c r="A45" s="683" t="s">
        <v>327</v>
      </c>
      <c r="B45" s="684">
        <f>Solarstrom!E57</f>
        <v>27209</v>
      </c>
      <c r="C45" s="685" t="s">
        <v>328</v>
      </c>
      <c r="D45" s="685"/>
      <c r="E45" s="684">
        <f>Solarwärme!H38</f>
        <v>5940</v>
      </c>
      <c r="F45" s="685" t="str">
        <f>C45</f>
        <v>pro Jahr</v>
      </c>
      <c r="G45" s="574"/>
      <c r="J45" s="578"/>
      <c r="K45" s="579"/>
      <c r="L45" s="579"/>
    </row>
    <row r="46" spans="1:12" ht="23.25">
      <c r="A46" s="686"/>
      <c r="B46" s="687"/>
      <c r="C46" s="687"/>
      <c r="D46" s="687"/>
      <c r="E46" s="687"/>
      <c r="F46" s="687"/>
      <c r="G46" s="581"/>
      <c r="J46" s="579"/>
      <c r="K46" s="579"/>
      <c r="L46" s="579"/>
    </row>
    <row r="47" spans="1:12" ht="23.25">
      <c r="A47" s="683" t="s">
        <v>289</v>
      </c>
      <c r="B47" s="688">
        <f>Solarstrom!O83+Solarstrom!M83+Solarstrom!K83</f>
        <v>3288.4612606299997</v>
      </c>
      <c r="C47" s="685" t="s">
        <v>329</v>
      </c>
      <c r="D47" s="685"/>
      <c r="E47" s="688">
        <f>E45*G47/10</f>
        <v>356.4</v>
      </c>
      <c r="F47" s="685" t="str">
        <f>C47</f>
        <v>im 1. Jahr</v>
      </c>
      <c r="G47" s="582">
        <f>Solarwärme!D33</f>
        <v>0.6</v>
      </c>
      <c r="J47" s="579"/>
      <c r="K47" s="579"/>
      <c r="L47" s="579"/>
    </row>
    <row r="48" spans="1:12" ht="18">
      <c r="A48" s="580"/>
      <c r="B48" s="619"/>
      <c r="C48" s="619"/>
      <c r="D48" s="619"/>
      <c r="E48" s="619"/>
      <c r="F48" s="619"/>
      <c r="G48" s="581"/>
      <c r="J48" s="579"/>
      <c r="K48" s="579"/>
      <c r="L48" s="579"/>
    </row>
    <row r="49" spans="1:12" ht="23.25">
      <c r="A49" s="588"/>
      <c r="B49" s="693">
        <f>Solarstrom!M72</f>
        <v>13771.036473230022</v>
      </c>
      <c r="C49" s="783" t="str">
        <f>Solarwärme!$H$42</f>
        <v>Ihr Ergebnis in 25 Jahren</v>
      </c>
      <c r="D49" s="783"/>
      <c r="E49" s="693">
        <f>Solarwärme!K43-Solarwärme!D40</f>
        <v>7124.0677934031373</v>
      </c>
      <c r="F49" s="681"/>
      <c r="G49" s="574"/>
      <c r="J49" s="579"/>
      <c r="K49" s="579"/>
      <c r="L49" s="579"/>
    </row>
    <row r="50" spans="1:12" ht="35.25" customHeight="1">
      <c r="A50" s="682"/>
      <c r="B50" s="694">
        <f>Solarstrom!E57*25</f>
        <v>680225</v>
      </c>
      <c r="C50" s="783"/>
      <c r="D50" s="783"/>
      <c r="E50" s="694">
        <f>Solarwärme!H38*25</f>
        <v>148500</v>
      </c>
      <c r="F50" s="577"/>
      <c r="G50" s="577"/>
      <c r="J50" s="579"/>
      <c r="K50" s="579"/>
      <c r="L50" s="579"/>
    </row>
    <row r="51" spans="1:12">
      <c r="J51" s="579"/>
      <c r="K51" s="579"/>
      <c r="L51" s="579"/>
    </row>
    <row r="52" spans="1:12">
      <c r="J52" s="579"/>
      <c r="K52" s="579"/>
      <c r="L52" s="579"/>
    </row>
    <row r="53" spans="1:12">
      <c r="J53" s="579"/>
      <c r="K53" s="579"/>
      <c r="L53" s="579"/>
    </row>
    <row r="54" spans="1:12">
      <c r="D54" s="306" t="str">
        <f>B34</f>
        <v>Solarstrom</v>
      </c>
      <c r="E54" s="306" t="str">
        <f>E34</f>
        <v>Solares Heizen</v>
      </c>
      <c r="J54" s="579"/>
      <c r="K54" s="579"/>
      <c r="L54" s="579"/>
    </row>
    <row r="55" spans="1:12">
      <c r="C55" s="306">
        <f>C36</f>
        <v>0</v>
      </c>
      <c r="D55" s="583">
        <f>B36</f>
        <v>187.45</v>
      </c>
      <c r="E55" s="583">
        <f>E36</f>
        <v>14</v>
      </c>
      <c r="J55" s="579"/>
      <c r="K55" s="579"/>
      <c r="L55" s="579"/>
    </row>
    <row r="56" spans="1:12">
      <c r="C56" s="306" t="str">
        <f>C45</f>
        <v>pro Jahr</v>
      </c>
      <c r="D56" s="583">
        <f>B45</f>
        <v>27209</v>
      </c>
      <c r="E56" s="583">
        <f>E45</f>
        <v>5940</v>
      </c>
      <c r="J56" s="579"/>
      <c r="K56" s="579"/>
      <c r="L56" s="579"/>
    </row>
    <row r="57" spans="1:12">
      <c r="C57" s="306" t="e">
        <f>#REF!</f>
        <v>#REF!</v>
      </c>
      <c r="D57" s="583">
        <f>B49</f>
        <v>13771.036473230022</v>
      </c>
      <c r="E57" s="583">
        <f>E49</f>
        <v>7124.0677934031373</v>
      </c>
      <c r="J57" s="579"/>
      <c r="K57" s="579"/>
      <c r="L57" s="579"/>
    </row>
    <row r="58" spans="1:12">
      <c r="J58" s="579"/>
      <c r="K58" s="579"/>
      <c r="L58" s="579"/>
    </row>
    <row r="59" spans="1:12">
      <c r="J59" s="579"/>
      <c r="K59" s="579"/>
      <c r="L59" s="579"/>
    </row>
    <row r="60" spans="1:12">
      <c r="J60" s="579"/>
      <c r="K60" s="579"/>
      <c r="L60" s="579"/>
    </row>
    <row r="61" spans="1:12">
      <c r="J61" s="579"/>
      <c r="K61" s="579"/>
      <c r="L61" s="579"/>
    </row>
    <row r="62" spans="1:12">
      <c r="J62" s="579"/>
      <c r="K62" s="579"/>
      <c r="L62" s="579"/>
    </row>
    <row r="63" spans="1:12">
      <c r="J63" s="579"/>
      <c r="K63" s="579"/>
      <c r="L63" s="579"/>
    </row>
    <row r="64" spans="1:12">
      <c r="J64" s="579"/>
      <c r="K64" s="579"/>
      <c r="L64" s="579"/>
    </row>
    <row r="65" spans="1:12">
      <c r="J65" s="579"/>
      <c r="K65" s="579"/>
      <c r="L65" s="579"/>
    </row>
    <row r="66" spans="1:12">
      <c r="J66" s="578"/>
      <c r="L66" s="584"/>
    </row>
    <row r="67" spans="1:12">
      <c r="J67" s="578"/>
      <c r="L67" s="585"/>
    </row>
    <row r="69" spans="1:12" ht="23.25">
      <c r="A69" s="586"/>
      <c r="B69" s="587"/>
      <c r="C69" s="588" t="s">
        <v>330</v>
      </c>
      <c r="D69" s="781">
        <v>77782.656000000003</v>
      </c>
      <c r="E69" s="782"/>
      <c r="F69" s="586"/>
      <c r="G69" s="586"/>
    </row>
  </sheetData>
  <sheetProtection password="F0B6" sheet="1" objects="1" scenarios="1" selectLockedCells="1"/>
  <mergeCells count="2">
    <mergeCell ref="D69:E69"/>
    <mergeCell ref="C49:D50"/>
  </mergeCells>
  <pageMargins left="1.2598425196850394" right="0.70866141732283472" top="1.7322834645669292" bottom="0.78740157480314965" header="0.31496062992125984" footer="0.31496062992125984"/>
  <pageSetup paperSize="9" scale="57" orientation="portrait" r:id="rId1"/>
  <headerFooter>
    <oddHeader>&amp;C&amp;G</oddHeader>
  </headerFooter>
  <drawing r:id="rId2"/>
  <legacyDrawingHF r:id="rId3"/>
</worksheet>
</file>

<file path=xl/worksheets/sheet5.xml><?xml version="1.0" encoding="utf-8"?>
<worksheet xmlns="http://schemas.openxmlformats.org/spreadsheetml/2006/main" xmlns:r="http://schemas.openxmlformats.org/officeDocument/2006/relationships">
  <sheetPr codeName="Tabelle2"/>
  <dimension ref="A1:CD185"/>
  <sheetViews>
    <sheetView topLeftCell="A16" zoomScale="80" zoomScaleNormal="80" zoomScalePageLayoutView="91" workbookViewId="0">
      <selection activeCell="B48" sqref="B48"/>
    </sheetView>
  </sheetViews>
  <sheetFormatPr baseColWidth="10" defaultRowHeight="15"/>
  <cols>
    <col min="1" max="1" width="17.7109375" style="630" bestFit="1" customWidth="1"/>
    <col min="2" max="2" width="14.28515625" style="630" bestFit="1" customWidth="1"/>
    <col min="3" max="3" width="11.42578125" style="631"/>
    <col min="4" max="4" width="15" style="631" customWidth="1"/>
    <col min="5" max="5" width="22.42578125" style="631" bestFit="1" customWidth="1"/>
    <col min="6" max="6" width="9.28515625" style="632" bestFit="1" customWidth="1"/>
    <col min="7" max="7" width="13" style="631" bestFit="1" customWidth="1"/>
    <col min="8" max="8" width="15.42578125" style="633" bestFit="1" customWidth="1"/>
    <col min="9" max="9" width="20.140625" style="631" bestFit="1" customWidth="1"/>
    <col min="10" max="10" width="19.28515625" style="631" bestFit="1" customWidth="1"/>
    <col min="11" max="11" width="20" style="631" bestFit="1" customWidth="1"/>
    <col min="12" max="12" width="29" style="631" bestFit="1" customWidth="1"/>
    <col min="13" max="13" width="20.28515625" style="631" bestFit="1" customWidth="1"/>
    <col min="14" max="14" width="22.85546875" style="631" bestFit="1" customWidth="1"/>
    <col min="15" max="16" width="13.42578125" style="631" bestFit="1" customWidth="1"/>
    <col min="17" max="17" width="13" style="631" bestFit="1" customWidth="1"/>
    <col min="18" max="18" width="13.42578125" style="631" bestFit="1" customWidth="1"/>
    <col min="19" max="19" width="13" style="631" bestFit="1" customWidth="1"/>
    <col min="20" max="20" width="19.85546875" style="631" bestFit="1" customWidth="1"/>
    <col min="21" max="22" width="11.42578125" style="631"/>
    <col min="23" max="23" width="36.28515625" style="631" bestFit="1" customWidth="1"/>
    <col min="24" max="24" width="13.7109375" style="631" bestFit="1" customWidth="1"/>
    <col min="25" max="25" width="9.140625" style="631" bestFit="1" customWidth="1"/>
    <col min="26" max="26" width="14.140625" style="631" bestFit="1" customWidth="1"/>
    <col min="27" max="27" width="14.140625" style="631" customWidth="1"/>
    <col min="28" max="28" width="32.140625" style="631" customWidth="1"/>
    <col min="29" max="29" width="16" style="631" bestFit="1" customWidth="1"/>
    <col min="30" max="30" width="13.85546875" style="631" bestFit="1" customWidth="1"/>
    <col min="31" max="31" width="21.140625" style="631" bestFit="1" customWidth="1"/>
    <col min="32" max="38" width="11.42578125" style="631"/>
    <col min="39" max="39" width="12.42578125" style="631" bestFit="1" customWidth="1"/>
    <col min="40" max="46" width="11.42578125" style="631"/>
    <col min="47" max="47" width="19.42578125" style="631" bestFit="1" customWidth="1"/>
    <col min="48" max="48" width="17.7109375" style="631" bestFit="1" customWidth="1"/>
    <col min="49" max="54" width="11.42578125" style="631"/>
    <col min="55" max="56" width="24" style="631" bestFit="1" customWidth="1"/>
    <col min="57" max="57" width="26" style="631" bestFit="1" customWidth="1"/>
    <col min="58" max="58" width="26" style="631" customWidth="1"/>
    <col min="59" max="59" width="16.42578125" style="631" customWidth="1"/>
    <col min="60" max="60" width="11.42578125" style="631" customWidth="1"/>
    <col min="61" max="61" width="11.42578125" style="631"/>
    <col min="62" max="62" width="18.42578125" style="631" bestFit="1" customWidth="1"/>
    <col min="63" max="68" width="24.140625" style="631" customWidth="1"/>
    <col min="69" max="71" width="11.42578125" style="631"/>
    <col min="72" max="72" width="20.42578125" style="631" bestFit="1" customWidth="1"/>
    <col min="73" max="73" width="21.140625" style="631" customWidth="1"/>
    <col min="74" max="74" width="14.42578125" style="631" customWidth="1"/>
    <col min="75" max="75" width="13.42578125" style="631" customWidth="1"/>
    <col min="76" max="79" width="11.42578125" style="631"/>
    <col min="80" max="80" width="12.85546875" style="631" bestFit="1" customWidth="1"/>
    <col min="81" max="16384" width="11.42578125" style="631"/>
  </cols>
  <sheetData>
    <row r="1" spans="1:82">
      <c r="I1" s="6"/>
      <c r="J1" s="6" t="s">
        <v>28</v>
      </c>
      <c r="K1" s="6" t="s">
        <v>27</v>
      </c>
      <c r="L1" s="6" t="s">
        <v>26</v>
      </c>
      <c r="M1" s="6" t="s">
        <v>137</v>
      </c>
      <c r="N1" s="6" t="s">
        <v>136</v>
      </c>
      <c r="O1" s="6"/>
      <c r="P1" s="6"/>
      <c r="Q1" s="6"/>
      <c r="R1" s="6"/>
    </row>
    <row r="2" spans="1:82">
      <c r="I2" s="6"/>
      <c r="J2" s="265">
        <f>Solarstrom!E31</f>
        <v>115</v>
      </c>
      <c r="K2" s="261">
        <f>VLOOKUP(Solarstrom!E29,Solarstrom!S83:U121,2,0)/1000</f>
        <v>0.26</v>
      </c>
      <c r="L2" s="267">
        <f>IF(J2*K2&gt;H7,"keine Förderung",J2*K2)</f>
        <v>29.900000000000002</v>
      </c>
      <c r="M2" s="6" t="b">
        <f>IF(L2&gt;H7,TRUE,FALSE)</f>
        <v>0</v>
      </c>
      <c r="N2" s="634" t="b">
        <f>AND(L10&lt;L2,L6="Direktvermarktung")</f>
        <v>0</v>
      </c>
      <c r="O2" s="265"/>
      <c r="P2" s="261"/>
      <c r="Q2" s="6"/>
      <c r="R2" s="6"/>
      <c r="BM2" s="631">
        <f>IF(Solarstrom!G27="Stromspeicher Nachrüstung",Solarstrom!I55-Solarstrom!E39,0)</f>
        <v>0</v>
      </c>
      <c r="BN2" s="714">
        <f>AE15</f>
        <v>0</v>
      </c>
      <c r="BO2" s="714">
        <f>AF15</f>
        <v>0</v>
      </c>
    </row>
    <row r="3" spans="1:82">
      <c r="G3" s="631" t="s">
        <v>134</v>
      </c>
      <c r="H3" s="268">
        <f>I10</f>
        <v>10</v>
      </c>
      <c r="I3" s="635">
        <f>H3</f>
        <v>10</v>
      </c>
      <c r="J3" s="265">
        <f>IF(L2&gt;H3,H3,L2)</f>
        <v>10</v>
      </c>
      <c r="K3" s="266">
        <f>$L$2</f>
        <v>29.900000000000002</v>
      </c>
      <c r="L3" s="262">
        <f>I11</f>
        <v>12.310852000000001</v>
      </c>
      <c r="M3" s="262">
        <f>IF(J2*K2&gt;H7,"keine Vergütung",IF(L2&lt;=10,L3,J3/K3*L3))</f>
        <v>4.1173418060200673</v>
      </c>
      <c r="N3" s="6"/>
      <c r="O3" s="6"/>
      <c r="P3" s="6"/>
      <c r="Q3" s="262"/>
      <c r="R3" s="262"/>
      <c r="BK3" s="636"/>
      <c r="BL3" s="308" t="s">
        <v>23</v>
      </c>
      <c r="BM3" s="308" t="s">
        <v>90</v>
      </c>
      <c r="BN3" s="636" t="s">
        <v>147</v>
      </c>
      <c r="BO3" s="631" t="s">
        <v>148</v>
      </c>
    </row>
    <row r="4" spans="1:82">
      <c r="G4" s="631" t="s">
        <v>135</v>
      </c>
      <c r="H4" s="268">
        <f>J10</f>
        <v>10</v>
      </c>
      <c r="I4" s="635">
        <f>H5-H4</f>
        <v>30</v>
      </c>
      <c r="J4" s="270">
        <f>IF(L2&gt;I3+I4,I4,L2-J3)</f>
        <v>19.900000000000002</v>
      </c>
      <c r="K4" s="266">
        <f>$L$2</f>
        <v>29.900000000000002</v>
      </c>
      <c r="L4" s="262">
        <f>J11</f>
        <v>11.972906999999999</v>
      </c>
      <c r="M4" s="262">
        <f>IF(J4&lt;=0,0,J4/K4*L4)</f>
        <v>7.9685902775919724</v>
      </c>
      <c r="N4" s="6"/>
      <c r="O4" s="263"/>
      <c r="P4" s="6"/>
      <c r="Q4" s="262"/>
      <c r="R4" s="262"/>
      <c r="BK4" s="312" t="s">
        <v>138</v>
      </c>
      <c r="BL4" s="317">
        <f>Solarstrom!E57</f>
        <v>27209</v>
      </c>
      <c r="BM4" s="317">
        <f>Solarstrom!I55</f>
        <v>0</v>
      </c>
      <c r="BN4" s="320">
        <f>Solarstrom!M57</f>
        <v>0</v>
      </c>
      <c r="BO4" s="631">
        <f>Solarstrom!E55</f>
        <v>29.9</v>
      </c>
      <c r="BP4" s="637"/>
    </row>
    <row r="5" spans="1:82" ht="15.75">
      <c r="A5" s="308" t="s">
        <v>42</v>
      </c>
      <c r="G5" s="631" t="s">
        <v>135</v>
      </c>
      <c r="H5" s="268">
        <f>K10</f>
        <v>40</v>
      </c>
      <c r="I5" s="635">
        <f>H6-H5</f>
        <v>60</v>
      </c>
      <c r="J5" s="270">
        <f>IF(L2&gt;I5+I4+I3,I5,L2-I3-I4)</f>
        <v>-10.099999999999998</v>
      </c>
      <c r="K5" s="266">
        <f>$L$2</f>
        <v>29.900000000000002</v>
      </c>
      <c r="L5" s="262">
        <f>K11</f>
        <v>10.708028000000002</v>
      </c>
      <c r="M5" s="262">
        <f>IF(J5&lt;=0,0,J5/K5*L5)</f>
        <v>0</v>
      </c>
      <c r="N5" s="6"/>
      <c r="O5" s="6"/>
      <c r="P5" s="6"/>
      <c r="Q5" s="262"/>
      <c r="R5" s="262"/>
      <c r="W5" s="308" t="s">
        <v>43</v>
      </c>
      <c r="X5" s="299" t="b">
        <f>IF(Solarstrom!K27="Finanzierung Ja",TRUE,FALSE)</f>
        <v>0</v>
      </c>
      <c r="AB5" s="638" t="str">
        <f>Solarstrom!G27</f>
        <v>Stromspeicher nein</v>
      </c>
      <c r="BK5" s="308" t="s">
        <v>149</v>
      </c>
      <c r="BN5" s="320">
        <f>IF(BN4&gt;0.3,0.3,BN4)</f>
        <v>0</v>
      </c>
      <c r="BO5" s="320">
        <f>IF(BN4&gt;0.3,BN4-0.3,0)</f>
        <v>0</v>
      </c>
      <c r="BP5" s="639"/>
    </row>
    <row r="6" spans="1:82" ht="15.75">
      <c r="A6" s="10" t="s">
        <v>40</v>
      </c>
      <c r="G6" s="631" t="s">
        <v>135</v>
      </c>
      <c r="H6" s="268">
        <f>L10</f>
        <v>100</v>
      </c>
      <c r="I6" s="635">
        <f>H7-H6</f>
        <v>9900</v>
      </c>
      <c r="J6" s="265">
        <f>IF(L2&gt;H6,L2-(J3+J4+J5),K3-1000)</f>
        <v>-970.1</v>
      </c>
      <c r="K6" s="266">
        <f>$L$2</f>
        <v>29.900000000000002</v>
      </c>
      <c r="L6" s="262" t="str">
        <f>L11</f>
        <v>Direktvermarktung</v>
      </c>
      <c r="M6" s="262">
        <f>IF(J6&lt;=0,0,J6/K6*L6)</f>
        <v>0</v>
      </c>
      <c r="N6" s="6">
        <f>IFERROR(M6,1)</f>
        <v>0</v>
      </c>
      <c r="O6" s="6"/>
      <c r="P6" s="6"/>
      <c r="Q6" s="262"/>
      <c r="R6" s="262"/>
      <c r="W6" s="10" t="s">
        <v>41</v>
      </c>
      <c r="X6" s="300"/>
      <c r="AB6" s="631" t="s">
        <v>123</v>
      </c>
      <c r="AC6" s="631">
        <f>IF(AB6=$AB$5,1,0)</f>
        <v>1</v>
      </c>
      <c r="BK6" s="631" t="s">
        <v>150</v>
      </c>
      <c r="BL6" s="631" t="s">
        <v>151</v>
      </c>
      <c r="BM6" s="631">
        <v>1</v>
      </c>
      <c r="BN6" s="281">
        <f>IF($BO$4&gt;30,30,BO4)</f>
        <v>29.9</v>
      </c>
      <c r="BO6" s="281"/>
    </row>
    <row r="7" spans="1:82">
      <c r="G7" s="631" t="s">
        <v>133</v>
      </c>
      <c r="H7" s="265">
        <f>IF(M10="ohne Begrenzung",10000000,10000)</f>
        <v>10000</v>
      </c>
      <c r="I7" s="6"/>
      <c r="J7" s="6">
        <f>IF(L2&gt;H7,L2-H7,0)</f>
        <v>0</v>
      </c>
      <c r="K7" s="6"/>
      <c r="L7" s="262"/>
      <c r="M7" s="262">
        <f>IF(J7&gt;0,(J7/L2*L7),0)</f>
        <v>0</v>
      </c>
      <c r="N7" s="262"/>
      <c r="O7" s="6"/>
      <c r="P7" s="6"/>
      <c r="Q7" s="262"/>
      <c r="R7" s="262"/>
      <c r="X7" s="301" t="b">
        <f>IF(X5=TRUE,TRUE,FALSE)</f>
        <v>0</v>
      </c>
      <c r="AB7" s="631" t="s">
        <v>119</v>
      </c>
      <c r="AC7" s="631">
        <f>IF(AB7=$AB$5,1,0)</f>
        <v>0</v>
      </c>
      <c r="BL7" s="631" t="s">
        <v>152</v>
      </c>
      <c r="BM7" s="631">
        <f>IF($BO$4&gt;30,1,0)</f>
        <v>0</v>
      </c>
      <c r="BN7" s="281">
        <f>IF(AND(BM7=1,BM8=1),70,$BO$4-30)</f>
        <v>-0.10000000000000142</v>
      </c>
    </row>
    <row r="8" spans="1:82" ht="15.75">
      <c r="A8" s="630" t="s">
        <v>100</v>
      </c>
      <c r="I8" s="6"/>
      <c r="J8" s="6"/>
      <c r="K8" s="6"/>
      <c r="L8" s="6"/>
      <c r="M8" s="264">
        <f>IF(N2=TRUE,"Direktvermarktung",SUM(M3:M6))</f>
        <v>12.08593208361204</v>
      </c>
      <c r="N8" s="6"/>
      <c r="O8" s="6"/>
      <c r="P8" s="6"/>
      <c r="Q8" s="6"/>
      <c r="R8" s="264"/>
      <c r="X8" s="300" t="b">
        <f>IF(Tabelle1!X5=FALSE,FALSE,TRUE)</f>
        <v>0</v>
      </c>
      <c r="AB8" s="631" t="s">
        <v>124</v>
      </c>
      <c r="AC8" s="631">
        <f>IF(AB8=$AB$5,1,0)</f>
        <v>0</v>
      </c>
      <c r="BL8" s="631" t="s">
        <v>153</v>
      </c>
      <c r="BM8" s="631">
        <f>IF($BO$4&gt;100,1,0)</f>
        <v>0</v>
      </c>
      <c r="BN8" s="281">
        <f>IF(BM8=1,$BO$4-100,0)</f>
        <v>0</v>
      </c>
      <c r="BT8" s="631" t="s">
        <v>156</v>
      </c>
      <c r="CA8" s="631" t="s">
        <v>163</v>
      </c>
    </row>
    <row r="9" spans="1:82">
      <c r="A9" s="630" t="s">
        <v>30</v>
      </c>
      <c r="F9" s="632" t="s">
        <v>3</v>
      </c>
      <c r="G9" s="631" t="s">
        <v>2</v>
      </c>
      <c r="I9" s="634"/>
      <c r="J9" s="634"/>
      <c r="K9" s="634"/>
      <c r="M9" s="634"/>
      <c r="W9" s="640" t="s">
        <v>42</v>
      </c>
      <c r="X9" s="278" t="b">
        <f>IF(Solarstrom!K43="KfW-Zuschuß Ja",TRUE,FALSE)</f>
        <v>1</v>
      </c>
      <c r="AV9" s="286"/>
      <c r="AW9" s="636"/>
      <c r="AX9" s="636"/>
      <c r="AY9" s="636"/>
      <c r="AZ9" s="282"/>
      <c r="BA9" s="282"/>
      <c r="BB9" s="282"/>
      <c r="BC9" s="282"/>
      <c r="BD9" s="311"/>
      <c r="BE9" s="311"/>
      <c r="BF9" s="311"/>
      <c r="BG9" s="282"/>
      <c r="BH9" s="282"/>
      <c r="BI9" s="282"/>
      <c r="BL9" s="631" t="s">
        <v>154</v>
      </c>
      <c r="BM9" s="631">
        <f>IF($BO$4&gt;500,0,1)</f>
        <v>1</v>
      </c>
      <c r="BP9" s="282"/>
      <c r="BQ9" s="636"/>
      <c r="BR9" s="636"/>
      <c r="BS9" s="636" t="str">
        <f>Solarstrom!C21</f>
        <v>Stromverbrauch</v>
      </c>
      <c r="BT9" s="631">
        <f>Solarstrom!E21</f>
        <v>4000</v>
      </c>
      <c r="CA9" s="784" t="s">
        <v>49</v>
      </c>
      <c r="CB9" s="785"/>
      <c r="CC9" s="785"/>
    </row>
    <row r="10" spans="1:82" ht="15.75">
      <c r="A10" s="630" t="s">
        <v>29</v>
      </c>
      <c r="B10" s="630">
        <f>IF(Solarstrom!M21="Ja",1,0)</f>
        <v>0</v>
      </c>
      <c r="E10" s="631" t="s">
        <v>19</v>
      </c>
      <c r="F10" s="632">
        <f>Solarstrom!E47</f>
        <v>1</v>
      </c>
      <c r="G10" s="632">
        <f>Solarstrom!E45</f>
        <v>2017</v>
      </c>
      <c r="H10" s="635">
        <f>RIGHT(G10,2)*100+F10</f>
        <v>1701</v>
      </c>
      <c r="I10" s="641">
        <f>VLOOKUP("Überschrift",$H$16:$T$152,2,0)</f>
        <v>10</v>
      </c>
      <c r="J10" s="642">
        <f>VLOOKUP("Überschrift",$H$16:$T$152,3,0)</f>
        <v>10</v>
      </c>
      <c r="K10" s="642">
        <f>VLOOKUP("Überschrift",$H$16:$T$152,4,0)</f>
        <v>40</v>
      </c>
      <c r="L10" s="642">
        <f>VLOOKUP("Überschrift",$H$16:$T$152,5,0)</f>
        <v>100</v>
      </c>
      <c r="M10" s="631">
        <f>VLOOKUP("Überschrift",$H$16:$T$152,6,0)</f>
        <v>100</v>
      </c>
      <c r="N10" s="631">
        <f>VLOOKUP("Überschrift",$H$16:$T$152,7,0)</f>
        <v>100</v>
      </c>
      <c r="O10" s="631">
        <f>VLOOKUP("Überschrift",$H$16:$T$152,8,0)</f>
        <v>0</v>
      </c>
      <c r="P10" s="631">
        <f>VLOOKUP("Überschrift",$H$16:$T$152,9,0)</f>
        <v>0</v>
      </c>
      <c r="Q10" s="631">
        <f>VLOOKUP("Überschrift",$H$16:$T$152,10,0)</f>
        <v>0</v>
      </c>
      <c r="R10" s="631">
        <f>VLOOKUP("Überschrift",$H$16:$T$152,11,0)</f>
        <v>0</v>
      </c>
      <c r="S10" s="631">
        <f>VLOOKUP("Überschrift",$H$16:$T$152,12,0)</f>
        <v>0</v>
      </c>
      <c r="T10" s="631">
        <f>VLOOKUP("Überschrift",$H$16:$T$152,13,0)</f>
        <v>0</v>
      </c>
      <c r="W10" s="640" t="s">
        <v>1</v>
      </c>
      <c r="X10" s="300" t="b">
        <f>IF(Solarstrom!E41="Ja",FALSE,TRUE)</f>
        <v>0</v>
      </c>
      <c r="AJ10" s="203" t="s">
        <v>120</v>
      </c>
      <c r="AK10" s="631">
        <v>0</v>
      </c>
      <c r="AV10" s="286"/>
      <c r="AW10" s="636"/>
      <c r="AX10" s="636"/>
      <c r="AY10" s="636"/>
      <c r="AZ10" s="282"/>
      <c r="BA10" s="282"/>
      <c r="BB10" s="282"/>
      <c r="BC10" s="282"/>
      <c r="BD10" s="282"/>
      <c r="BE10" s="315"/>
      <c r="BF10" s="315"/>
      <c r="BG10" s="788" t="s">
        <v>25</v>
      </c>
      <c r="BH10" s="287">
        <f>IF(Solarstrom!E47&gt;7,1,0)</f>
        <v>0</v>
      </c>
      <c r="BI10" s="287" t="s">
        <v>24</v>
      </c>
      <c r="BJ10" s="288" t="b">
        <f>OR(Solarstrom!E55&gt;10,Solarstrom!E57&gt;10000,0)</f>
        <v>1</v>
      </c>
      <c r="BK10" s="787">
        <f>O10</f>
        <v>0</v>
      </c>
      <c r="BL10" s="786"/>
      <c r="BM10" s="786">
        <f>Q10</f>
        <v>0</v>
      </c>
      <c r="BN10" s="786"/>
      <c r="BO10" s="786">
        <f>S10</f>
        <v>0</v>
      </c>
      <c r="BP10" s="786"/>
      <c r="BQ10" s="636"/>
      <c r="BR10" s="636"/>
      <c r="BS10" s="631" t="str">
        <f>Solarstrom!C39</f>
        <v>Eigenverbrauch PV</v>
      </c>
      <c r="BT10" s="631">
        <f>Solarstrom!I55</f>
        <v>0</v>
      </c>
      <c r="CA10" s="785"/>
      <c r="CB10" s="785"/>
      <c r="CC10" s="785"/>
    </row>
    <row r="11" spans="1:82" ht="15.75">
      <c r="A11" s="630" t="s">
        <v>68</v>
      </c>
      <c r="H11" s="635"/>
      <c r="I11" s="639">
        <f>VLOOKUP($H$10,$H$18:$N$153,2,0)</f>
        <v>12.310852000000001</v>
      </c>
      <c r="J11" s="639">
        <f>VLOOKUP($H$10,$H$18:$N$153,3,0)</f>
        <v>11.972906999999999</v>
      </c>
      <c r="K11" s="639">
        <f>VLOOKUP($H$10,$H$18:$N$153,4,0)</f>
        <v>10.708028000000002</v>
      </c>
      <c r="L11" s="639" t="str">
        <f>VLOOKUP($H$10,$H$18:$N$153,5,0)</f>
        <v>Direktvermarktung</v>
      </c>
      <c r="M11" s="639">
        <f>VLOOKUP($H$10,$H$18:$N$153,6,0)</f>
        <v>8.5258690000000001</v>
      </c>
      <c r="N11" s="639">
        <f>VLOOKUP($H$10,$H$18:$N$153,7,0)</f>
        <v>0</v>
      </c>
      <c r="O11" s="637" t="str">
        <f t="shared" ref="O11:T11" si="0">IF(O10=0,"",O17)</f>
        <v/>
      </c>
      <c r="P11" s="643" t="str">
        <f t="shared" si="0"/>
        <v/>
      </c>
      <c r="Q11" s="637" t="str">
        <f t="shared" si="0"/>
        <v/>
      </c>
      <c r="R11" s="643" t="str">
        <f t="shared" si="0"/>
        <v/>
      </c>
      <c r="S11" s="637" t="str">
        <f t="shared" si="0"/>
        <v/>
      </c>
      <c r="T11" s="643" t="str">
        <f t="shared" si="0"/>
        <v/>
      </c>
      <c r="X11" s="114"/>
      <c r="AB11" s="93" t="s">
        <v>23</v>
      </c>
      <c r="AC11" s="282">
        <f>Solarstrom!E57</f>
        <v>27209</v>
      </c>
      <c r="AD11" s="282"/>
      <c r="AE11" s="93" t="s">
        <v>581</v>
      </c>
      <c r="AF11" s="224">
        <f>Solarstrom!I55</f>
        <v>0</v>
      </c>
      <c r="AJ11" s="203" t="s">
        <v>126</v>
      </c>
      <c r="AK11" s="631">
        <v>4</v>
      </c>
      <c r="AV11" s="286"/>
      <c r="AW11" s="636"/>
      <c r="AX11" s="636"/>
      <c r="AY11" s="636"/>
      <c r="AZ11" s="636"/>
      <c r="BF11" s="308"/>
      <c r="BG11" s="789"/>
      <c r="BH11" s="308">
        <f>IF(Solarstrom!E45=2014,IF(Solarstrom!E47&gt;7,TRUE,FALSE),0)</f>
        <v>0</v>
      </c>
      <c r="BI11" s="308">
        <v>2014</v>
      </c>
      <c r="BJ11" s="316">
        <f>IF(AND(OR(Solarstrom!E55&gt;10,Solarstrom!E57&gt;10000),(Solarstrom!E57&gt;10000),Tabelle1!BH11=TRUE),Solarstrom!I$55*(13-Solarstrom!E$47)/12*Tabelle1!BG$15*Solarstrom!M23/100)*IF(Solarstrom!E45=2014,1,0)</f>
        <v>0</v>
      </c>
      <c r="BK11" s="637" t="str">
        <f>O11</f>
        <v/>
      </c>
      <c r="BL11" s="643" t="str">
        <f>P11</f>
        <v/>
      </c>
      <c r="BM11" s="637" t="str">
        <f>Q11</f>
        <v/>
      </c>
      <c r="BN11" s="643" t="str">
        <f>R11</f>
        <v/>
      </c>
      <c r="BO11" s="637" t="str">
        <f>S11</f>
        <v/>
      </c>
      <c r="BP11" s="643" t="str">
        <f>T11</f>
        <v/>
      </c>
      <c r="BQ11" s="636"/>
      <c r="BR11" s="636"/>
      <c r="BS11" s="636" t="str">
        <f>Solarstrom!C23</f>
        <v>Strombezugspreis</v>
      </c>
      <c r="BT11" s="631">
        <f>Solarstrom!E23</f>
        <v>28</v>
      </c>
      <c r="CA11" s="785"/>
      <c r="CB11" s="785"/>
      <c r="CC11" s="785"/>
    </row>
    <row r="12" spans="1:82">
      <c r="A12" s="630" t="s">
        <v>29</v>
      </c>
      <c r="F12" s="632">
        <f>IF(G12&gt;1,1,G12)</f>
        <v>1</v>
      </c>
      <c r="G12" s="631">
        <f>IF(SUM(I12:K12)=0,1,SUM(I12:K12))+Solarstrom!M57</f>
        <v>1</v>
      </c>
      <c r="H12" s="631" t="b">
        <f>OR($E$57=1,$E$61=1)</f>
        <v>0</v>
      </c>
      <c r="I12" s="631">
        <f>IF(Solarstrom!E55&lt;=10,IF(E57=1,0.8,1),0)</f>
        <v>0</v>
      </c>
      <c r="J12" s="631">
        <f>IF(AND(Solarstrom!E55&gt;J10,Solarstrom!E55&lt;K10),IF($H$12=TRUE,0.9,1),0)</f>
        <v>1</v>
      </c>
      <c r="K12" s="631">
        <f>IF(AND(Solarstrom!E55&gt;=K10,Solarstrom!E55&lt;1000),IF(E61=1,0.9,1),0)</f>
        <v>0</v>
      </c>
      <c r="L12" s="631">
        <f>SUM(I12:K12)</f>
        <v>1</v>
      </c>
      <c r="O12" s="639">
        <f>IF(H10&lt;1204,VLOOKUP($H$10,$H$18:$T$56,8,0),0)</f>
        <v>0</v>
      </c>
      <c r="P12" s="639">
        <f>IF($H$10&lt;1204,VLOOKUP($H$10,$H$18:$T$56,9,0),0)</f>
        <v>0</v>
      </c>
      <c r="Q12" s="639">
        <f>IF($H$10&lt;1204,VLOOKUP($H$10,$H$18:$T$56,10,0),0)</f>
        <v>0</v>
      </c>
      <c r="R12" s="639">
        <f>IF($H$10&lt;1204,VLOOKUP($H$10,$H$18:$T$56,11,0),0)</f>
        <v>0</v>
      </c>
      <c r="S12" s="639">
        <f>IF($H$10&lt;1204,VLOOKUP($H$10,$H$18:$T$56,12,0),0)</f>
        <v>0</v>
      </c>
      <c r="T12" s="639">
        <f>IF($H$10&lt;1204,VLOOKUP($H$10,$H$18:$T$56,13,0),0)</f>
        <v>0</v>
      </c>
      <c r="AC12" s="282"/>
      <c r="AD12" s="282"/>
      <c r="AE12" s="631" t="s">
        <v>142</v>
      </c>
      <c r="AF12" s="282">
        <f>Solarstrom!E39</f>
        <v>0</v>
      </c>
      <c r="AJ12" s="203" t="s">
        <v>127</v>
      </c>
      <c r="AK12" s="631">
        <v>8</v>
      </c>
      <c r="AV12" s="286"/>
      <c r="AW12" s="636"/>
      <c r="AX12" s="636"/>
      <c r="AY12" s="636"/>
      <c r="AZ12" s="636"/>
      <c r="BF12" s="308"/>
      <c r="BG12" s="789"/>
      <c r="BH12" s="308" t="b">
        <f>AND(Solarstrom!E45&gt;=2015,Solarstrom!E55&gt;10)</f>
        <v>1</v>
      </c>
      <c r="BI12" s="308">
        <v>2015</v>
      </c>
      <c r="BJ12" s="316">
        <f>IF(BH12=TRUE,Solarstrom!$I$55*(13-Solarstrom!$E$47)/12*Tabelle1!BG15*Solarstrom!$M$23/100,0)*IF(Solarstrom!E45=2015,1,0)*BJ10</f>
        <v>0</v>
      </c>
      <c r="BK12" s="646" t="str">
        <f>IFERROR(IF(AND($H$10&gt;=901,$H$10&lt;1007),$BK$13*($BM$4-BM2)/100,(($BM$4-BM2)*$BK$13/100*$BN$5/BN2*$BN$6/$BO$4*$BM$9)),"")</f>
        <v/>
      </c>
      <c r="BL12" s="646">
        <f>IFERROR(($BM$4-BM2)*$BL$13/100*$BO$2/$BN$2*$BN$6/$BO$4*$BM$9,0)</f>
        <v>0</v>
      </c>
      <c r="BM12" s="646">
        <f>IFERROR($BM$4*$BM$13/100*$BN$5/$BN$4*$BN$7/$BO$4*$BM$9,0)</f>
        <v>0</v>
      </c>
      <c r="BN12" s="646">
        <f>IFERROR($BM$4*$BN$13/100*$BO$5/$BN$4*$BN$7/$BO$4*$BM$9,0)</f>
        <v>0</v>
      </c>
      <c r="BO12" s="646">
        <f>IFERROR($BM$4*$BO$13/100*$BN$5/$BN$4*$BN$8/$BO$4*$BM$9,0)</f>
        <v>0</v>
      </c>
      <c r="BP12" s="646">
        <f>IFERROR($BM$4*$BP$13/100*$BO$5/$BN$4*$BN$8/$BO$4*$BM$9,0)</f>
        <v>0</v>
      </c>
      <c r="BQ12" s="636"/>
      <c r="BR12" s="636"/>
      <c r="BS12" s="636" t="str">
        <f>Solarstrom!G21</f>
        <v>Strom-Preissteigerung</v>
      </c>
      <c r="BT12" s="644">
        <f>Solarstrom!I21</f>
        <v>0</v>
      </c>
    </row>
    <row r="13" spans="1:82">
      <c r="A13" s="630" t="s">
        <v>30</v>
      </c>
      <c r="B13" s="630">
        <f>IF(Solarstrom!E41="Ja",1,0)</f>
        <v>1</v>
      </c>
      <c r="I13" s="631" t="s">
        <v>0</v>
      </c>
      <c r="AC13" s="282"/>
      <c r="AD13" s="282"/>
      <c r="AE13" s="282" t="s">
        <v>83</v>
      </c>
      <c r="AF13" s="282"/>
      <c r="AJ13" s="203" t="s">
        <v>128</v>
      </c>
      <c r="AK13" s="631">
        <v>12</v>
      </c>
      <c r="AV13" s="286"/>
      <c r="AW13" s="636"/>
      <c r="AX13" s="636"/>
      <c r="AY13" s="636"/>
      <c r="AZ13" s="636"/>
      <c r="BF13" s="317"/>
      <c r="BG13" s="789"/>
      <c r="BH13" s="308" t="b">
        <f>OR(Solarstrom!E45=2015,Solarstrom!E45=2016)</f>
        <v>0</v>
      </c>
      <c r="BI13" s="308">
        <v>2016</v>
      </c>
      <c r="BJ13" s="316">
        <f>IF(BH13=TRUE,Solarstrom!$I$55*(13-Solarstrom!$E$47)/12*Tabelle1!BH15*Solarstrom!$M$23/100,0)*IF(Solarstrom!E45=2016,1,0)*BJ10</f>
        <v>0</v>
      </c>
      <c r="BK13" s="639">
        <f t="shared" ref="BK13:BP13" si="1">O12</f>
        <v>0</v>
      </c>
      <c r="BL13" s="639">
        <f t="shared" si="1"/>
        <v>0</v>
      </c>
      <c r="BM13" s="639">
        <f t="shared" si="1"/>
        <v>0</v>
      </c>
      <c r="BN13" s="639">
        <f t="shared" si="1"/>
        <v>0</v>
      </c>
      <c r="BO13" s="639">
        <f t="shared" si="1"/>
        <v>0</v>
      </c>
      <c r="BP13" s="639">
        <f t="shared" si="1"/>
        <v>0</v>
      </c>
      <c r="BQ13" s="636"/>
      <c r="BR13" s="636"/>
      <c r="BS13" s="636" t="str">
        <f>Solarstrom!G61</f>
        <v>Stromgestehungskosten</v>
      </c>
      <c r="BT13" s="631">
        <f>Solarstrom!I61</f>
        <v>10.02205152706825</v>
      </c>
    </row>
    <row r="14" spans="1:82">
      <c r="I14" s="786" t="s">
        <v>1</v>
      </c>
      <c r="J14" s="786"/>
      <c r="K14" s="786"/>
      <c r="L14" s="786"/>
      <c r="M14" s="786"/>
      <c r="N14" s="786"/>
      <c r="O14" s="786" t="s">
        <v>132</v>
      </c>
      <c r="P14" s="786"/>
      <c r="Q14" s="786"/>
      <c r="R14" s="786"/>
      <c r="S14" s="786"/>
      <c r="T14" s="786"/>
      <c r="W14" s="631" t="s">
        <v>6</v>
      </c>
      <c r="X14" s="631" t="s">
        <v>8</v>
      </c>
      <c r="Y14" s="645">
        <v>0.3</v>
      </c>
      <c r="AC14" s="282" t="str">
        <f>Solarstrom!M21</f>
        <v>Nein</v>
      </c>
      <c r="AD14" s="282"/>
      <c r="AE14" s="282">
        <f>Tabelle1!AF11/Tabelle1!$AC$11</f>
        <v>0</v>
      </c>
      <c r="AF14" s="282">
        <f>IF(AE14-0.3&gt;0,AE14-0.3,0)</f>
        <v>0</v>
      </c>
      <c r="AK14" s="631">
        <f>VLOOKUP(Solarstrom!M29,AJ10:AK13,2,0)</f>
        <v>4</v>
      </c>
      <c r="AU14" s="631" t="s">
        <v>123</v>
      </c>
      <c r="AV14" s="631" t="s">
        <v>119</v>
      </c>
      <c r="AW14" s="631" t="s">
        <v>124</v>
      </c>
      <c r="AX14" s="636"/>
      <c r="AY14" s="636"/>
      <c r="AZ14" s="636"/>
      <c r="BF14" s="636"/>
      <c r="BG14" s="789"/>
      <c r="BH14" s="308" t="b">
        <f>OR(Solarstrom!E45=2015,Solarstrom!E45=2016,Solarstrom!E45=2017)</f>
        <v>1</v>
      </c>
      <c r="BI14" s="308">
        <v>2017</v>
      </c>
      <c r="BJ14" s="316">
        <f>IF(BH14=TRUE,Solarstrom!$I$55*(13-Solarstrom!$E$47)/12*Tabelle1!BI15*Solarstrom!$M$23/100,0)*IF(Solarstrom!E45=2017,1,0)*BJ10</f>
        <v>0</v>
      </c>
      <c r="BK14" s="646" t="str">
        <f>IFERROR(IF(AND($H$10&gt;=901,$H$10&lt;1007),$BK$13*$BM$4/100,($BM$4*$BK$13/100*$BN$5/$BN$4*$BN$6/$BO$4*$BM$9)),"")</f>
        <v/>
      </c>
      <c r="BL14" s="646">
        <f>IFERROR($BM$4*$BL$13/100*$BO$5/$BN$4*$BN$6/$BO$4*$BM$9,0)</f>
        <v>0</v>
      </c>
      <c r="BM14" s="646">
        <f>IFERROR($BM$4*$BM$13/100*$BN$5/$BN$4*$BN$7/$BO$4*$BM$9,0)</f>
        <v>0</v>
      </c>
      <c r="BN14" s="646">
        <f>IFERROR($BM$4*$BN$13/100*$BO$5/$BN$4*$BN$7/$BO$4*$BM$9,0)</f>
        <v>0</v>
      </c>
      <c r="BO14" s="646">
        <f>IFERROR($BM$4*$BO$13/100*$BN$5/$BN$4*$BN$8/$BO$4*$BM$9,0)</f>
        <v>0</v>
      </c>
      <c r="BP14" s="646">
        <f>IFERROR($BM$4*$BP$13/100*$BO$5/$BN$4*$BN$8/$BO$4*$BM$9,0)</f>
        <v>0</v>
      </c>
      <c r="BQ14" s="636"/>
      <c r="BR14" s="636"/>
      <c r="BS14" s="636"/>
      <c r="CA14" s="282">
        <v>25</v>
      </c>
      <c r="CB14" s="282">
        <v>0.8</v>
      </c>
      <c r="CC14" s="282" t="s">
        <v>110</v>
      </c>
      <c r="CD14" s="282" t="s">
        <v>93</v>
      </c>
    </row>
    <row r="15" spans="1:82" ht="60">
      <c r="A15" s="307"/>
      <c r="B15" s="307"/>
      <c r="I15" s="786" t="s">
        <v>111</v>
      </c>
      <c r="J15" s="786"/>
      <c r="K15" s="786"/>
      <c r="L15" s="786"/>
      <c r="M15" s="631" t="s">
        <v>572</v>
      </c>
      <c r="N15" s="647" t="s">
        <v>112</v>
      </c>
      <c r="W15" s="632">
        <f>F10</f>
        <v>1</v>
      </c>
      <c r="X15" s="632">
        <f>G10</f>
        <v>2017</v>
      </c>
      <c r="Y15" s="635">
        <f>RIGHT(X15,2)*100+W15</f>
        <v>1701</v>
      </c>
      <c r="AB15" s="648" t="s">
        <v>18</v>
      </c>
      <c r="AE15" s="282">
        <f>Tabelle1!AF12/Tabelle1!$AC$11</f>
        <v>0</v>
      </c>
      <c r="AF15" s="282">
        <f>IF(AE15-0.3&gt;0,AE15-0.3,0)</f>
        <v>0</v>
      </c>
      <c r="AJ15" s="631">
        <f>Solarstrom!M47</f>
        <v>0</v>
      </c>
      <c r="AL15" s="649">
        <f>Solarstrom!M39</f>
        <v>1.35E-2</v>
      </c>
      <c r="AM15" s="631">
        <f>Solarstrom!M45</f>
        <v>0</v>
      </c>
      <c r="AR15" s="631">
        <f>Solarstrom!K29-4</f>
        <v>6</v>
      </c>
      <c r="AU15" s="631">
        <f>IF(AU14=$AB$5,0,1)</f>
        <v>0</v>
      </c>
      <c r="AV15" s="631">
        <f>IF(AV14=$AB$5,0,1)</f>
        <v>1</v>
      </c>
      <c r="AW15" s="631">
        <f>IF(AW14=$AB$5,0,1)</f>
        <v>1</v>
      </c>
      <c r="AX15" s="289">
        <f>OR(AV15,AW15)*(-Solarstrom!M33)*AU15</f>
        <v>0</v>
      </c>
      <c r="AY15" s="308" t="s">
        <v>139</v>
      </c>
      <c r="AZ15" s="636"/>
      <c r="BA15" s="308" t="s">
        <v>140</v>
      </c>
      <c r="BB15" s="309"/>
      <c r="BC15" s="309" t="s">
        <v>142</v>
      </c>
      <c r="BD15" s="309" t="s">
        <v>144</v>
      </c>
      <c r="BE15" s="309" t="s">
        <v>162</v>
      </c>
      <c r="BF15" s="309" t="s">
        <v>22</v>
      </c>
      <c r="BG15" s="290">
        <v>0.3</v>
      </c>
      <c r="BH15" s="291">
        <v>0.35</v>
      </c>
      <c r="BI15" s="291">
        <v>0.4</v>
      </c>
      <c r="BJ15" s="292" t="s">
        <v>21</v>
      </c>
      <c r="BK15" s="293" t="str">
        <f>IF(BM9=0, "Anlage größer 500kWp","")</f>
        <v/>
      </c>
      <c r="BL15" s="293" t="str">
        <f>$BK$15</f>
        <v/>
      </c>
      <c r="BM15" s="293" t="str">
        <f>$BK$15</f>
        <v/>
      </c>
      <c r="BN15" s="293" t="str">
        <f>$BK$15</f>
        <v/>
      </c>
      <c r="BO15" s="293" t="str">
        <f>$BK$15</f>
        <v/>
      </c>
      <c r="BP15" s="293" t="str">
        <f>$BK$15</f>
        <v/>
      </c>
      <c r="BQ15" s="636" t="s">
        <v>155</v>
      </c>
      <c r="BR15" s="636"/>
      <c r="BS15" s="636"/>
      <c r="BT15" s="631" t="s">
        <v>157</v>
      </c>
      <c r="BU15" s="647" t="s">
        <v>158</v>
      </c>
      <c r="BV15" s="59" t="s">
        <v>73</v>
      </c>
      <c r="BW15" s="59" t="s">
        <v>72</v>
      </c>
      <c r="CA15" s="282"/>
      <c r="CB15" s="282"/>
      <c r="CC15" s="282"/>
      <c r="CD15" s="282"/>
    </row>
    <row r="16" spans="1:82" ht="45.75" customHeight="1">
      <c r="A16" s="307"/>
      <c r="B16" s="307"/>
      <c r="D16" s="647" t="s">
        <v>4</v>
      </c>
      <c r="E16" s="650" t="s">
        <v>161</v>
      </c>
      <c r="F16" s="632" t="s">
        <v>3</v>
      </c>
      <c r="G16" s="631" t="s">
        <v>2</v>
      </c>
      <c r="H16" s="635" t="str">
        <f>IF(AND($H$10&gt;900,$H$10&lt;1204),"Überschrift","")</f>
        <v/>
      </c>
      <c r="I16" s="641">
        <v>30</v>
      </c>
      <c r="J16" s="642">
        <v>30</v>
      </c>
      <c r="K16" s="642">
        <v>100</v>
      </c>
      <c r="L16" s="642">
        <v>1000</v>
      </c>
      <c r="M16" s="647" t="s">
        <v>131</v>
      </c>
      <c r="N16" s="647" t="s">
        <v>131</v>
      </c>
      <c r="O16" s="641" t="s">
        <v>5</v>
      </c>
      <c r="P16" s="641" t="s">
        <v>5</v>
      </c>
      <c r="Q16" s="642" t="s">
        <v>152</v>
      </c>
      <c r="R16" s="642" t="s">
        <v>152</v>
      </c>
      <c r="S16" s="651" t="s">
        <v>153</v>
      </c>
      <c r="T16" s="651" t="s">
        <v>153</v>
      </c>
      <c r="W16" s="640" t="s">
        <v>3</v>
      </c>
      <c r="X16" s="631" t="s">
        <v>2</v>
      </c>
      <c r="Y16" s="652">
        <f>IFERROR(VLOOKUP(Y15,Y17:Z88,2,0)/100,0)</f>
        <v>0.19</v>
      </c>
      <c r="Z16" s="631" t="s">
        <v>145</v>
      </c>
      <c r="AA16" s="631" t="s">
        <v>146</v>
      </c>
      <c r="AC16" s="8">
        <v>1600</v>
      </c>
      <c r="AD16" s="1" t="s">
        <v>7</v>
      </c>
      <c r="AE16" s="1" t="s">
        <v>9</v>
      </c>
      <c r="AI16" s="282"/>
      <c r="AJ16" s="282" t="s">
        <v>109</v>
      </c>
      <c r="AK16" s="282" t="s">
        <v>108</v>
      </c>
      <c r="AL16" s="282" t="s">
        <v>107</v>
      </c>
      <c r="AM16" s="282" t="s">
        <v>53</v>
      </c>
      <c r="AN16" s="282" t="s">
        <v>106</v>
      </c>
      <c r="AO16" s="282" t="s">
        <v>105</v>
      </c>
      <c r="AP16" s="282" t="s">
        <v>104</v>
      </c>
      <c r="AQ16" s="282"/>
      <c r="AR16" s="282" t="s">
        <v>130</v>
      </c>
      <c r="AS16" s="282" t="s">
        <v>129</v>
      </c>
      <c r="AV16" s="286"/>
      <c r="AW16" s="618" t="s">
        <v>143</v>
      </c>
      <c r="AX16" s="294">
        <f>Solarstrom!A83</f>
        <v>2017</v>
      </c>
      <c r="AY16" s="308">
        <f>IF(AX16=Solarstrom!$I$45,Tabelle1!$AX$15,0)</f>
        <v>0</v>
      </c>
      <c r="AZ16" s="636"/>
      <c r="BA16" s="631">
        <v>0</v>
      </c>
      <c r="BB16" s="285"/>
      <c r="BC16" s="317">
        <f>Solarstrom!$E$39/12*(13-Solarstrom!E47)</f>
        <v>0</v>
      </c>
      <c r="BD16" s="317">
        <f>IF(AY16&gt;-1,IF(Tabelle1!AX16&gt;=Solarstrom!$I$45,Solarstrom!$I$35-Solarstrom!$E$39,0),(Solarstrom!$I$35-Solarstrom!$E$39)/12*(13-Solarstrom!$I$47))*$AU$15</f>
        <v>0</v>
      </c>
      <c r="BE16" s="631">
        <f>Solarstrom!E23/100</f>
        <v>0.28000000000000003</v>
      </c>
      <c r="BF16" s="295">
        <f>SUM(BC16:BD16)*BE16</f>
        <v>0</v>
      </c>
      <c r="BG16" s="318">
        <f>Solarstrom!$I$55*(Solarstrom!$M$23/100)*BG15</f>
        <v>0</v>
      </c>
      <c r="BH16" s="318">
        <f>Solarstrom!$I$55*(Solarstrom!$M$23/100)*BH15</f>
        <v>0</v>
      </c>
      <c r="BI16" s="318">
        <f>Solarstrom!$I$55*(Solarstrom!$M$23/100)*$BI$15</f>
        <v>0</v>
      </c>
      <c r="BJ16" s="319">
        <f>SUM(BJ11:BJ14)</f>
        <v>0</v>
      </c>
      <c r="BK16" s="646" t="str">
        <f>$BK$14</f>
        <v/>
      </c>
      <c r="BL16" s="293">
        <f>$BL$14</f>
        <v>0</v>
      </c>
      <c r="BM16" s="293">
        <f>IF($BM$14&lt;0,0,$BM$14)</f>
        <v>0</v>
      </c>
      <c r="BN16" s="293">
        <f>IF($BN$14&lt;0,0,$BN$14)</f>
        <v>0</v>
      </c>
      <c r="BO16" s="321">
        <f>$BO$14</f>
        <v>0</v>
      </c>
      <c r="BP16" s="321">
        <f>$BP$14</f>
        <v>0</v>
      </c>
      <c r="BQ16" s="653">
        <f>IF(BR16=FALSE,SUM(BK16:BP16),BR16)</f>
        <v>0</v>
      </c>
      <c r="BR16" s="636" t="b">
        <f>IF(AND($BM$2&gt;0,Solarstrom!A83&lt;Solarstrom!$I$45),SUM(Tabelle1!$BK$12:$BL$12,0))</f>
        <v>0</v>
      </c>
      <c r="BS16" s="654">
        <f>Solarstrom!A84</f>
        <v>2018</v>
      </c>
      <c r="BT16" s="655">
        <f>BT11</f>
        <v>28</v>
      </c>
      <c r="BU16" s="655">
        <f t="shared" ref="BU16:BU35" si="2">$BT$13</f>
        <v>10.02205152706825</v>
      </c>
      <c r="BV16" s="656">
        <f>BT16/100*$BT$9</f>
        <v>1120</v>
      </c>
      <c r="BW16" s="656">
        <f>(BT16/100)*($BT$9-$BT$10)</f>
        <v>1120</v>
      </c>
      <c r="CA16" s="282">
        <v>1</v>
      </c>
      <c r="CB16" s="285">
        <f>CA16*Solarstrom!$E$57</f>
        <v>27209</v>
      </c>
      <c r="CC16" s="45">
        <v>0</v>
      </c>
      <c r="CD16" s="45"/>
    </row>
    <row r="17" spans="1:82" ht="15.75">
      <c r="A17" s="313">
        <f>-(SUM(Solarstrom!$E$64:$E$73))</f>
        <v>-54538</v>
      </c>
      <c r="B17" s="313">
        <f>A17-(5*Solarstrom!E37)</f>
        <v>-59368</v>
      </c>
      <c r="I17" s="641"/>
      <c r="J17" s="642"/>
      <c r="K17" s="642"/>
      <c r="L17" s="642"/>
      <c r="M17" s="647"/>
      <c r="N17" s="647"/>
      <c r="O17" s="657">
        <v>0.3</v>
      </c>
      <c r="P17" s="643">
        <v>0.3</v>
      </c>
      <c r="Q17" s="657">
        <v>0.3</v>
      </c>
      <c r="R17" s="643">
        <v>0.3</v>
      </c>
      <c r="S17" s="657">
        <v>0.3</v>
      </c>
      <c r="T17" s="643">
        <v>0.3</v>
      </c>
      <c r="W17" s="631">
        <v>1</v>
      </c>
      <c r="X17" s="631">
        <v>2013</v>
      </c>
      <c r="Y17" s="635">
        <f>RIGHT(X17,2)*100+W17</f>
        <v>1301</v>
      </c>
      <c r="Z17" s="1">
        <v>30</v>
      </c>
      <c r="AA17" s="1"/>
      <c r="AC17" s="1"/>
      <c r="AD17" s="1"/>
      <c r="AE17" s="1"/>
      <c r="AI17" s="282"/>
      <c r="AJ17" s="282"/>
      <c r="AK17" s="282"/>
      <c r="AL17" s="282"/>
      <c r="AM17" s="282"/>
      <c r="AN17" s="282"/>
      <c r="AO17" s="282"/>
      <c r="AP17" s="282"/>
      <c r="AR17" s="260">
        <f>VLOOKUP(AS17,AR18:AS33,2,0)-AK14</f>
        <v>36</v>
      </c>
      <c r="AS17" s="260">
        <f>Solarstrom!K29</f>
        <v>10</v>
      </c>
      <c r="AV17" s="286"/>
      <c r="AW17" s="636"/>
      <c r="AX17" s="294">
        <f>Solarstrom!A84</f>
        <v>2018</v>
      </c>
      <c r="AY17" s="308">
        <f>IF(AX17=Solarstrom!$I$45,Tabelle1!$AX$15,0)</f>
        <v>0</v>
      </c>
      <c r="AZ17" s="636"/>
      <c r="BA17" s="308">
        <v>1</v>
      </c>
      <c r="BB17" s="285"/>
      <c r="BC17" s="317">
        <f>Solarstrom!$E$39</f>
        <v>0</v>
      </c>
      <c r="BD17" s="317">
        <f>IF(AY17&gt;-1,IF(Tabelle1!AX17&gt;=Solarstrom!$I$45,Solarstrom!$I$35-Solarstrom!$E$39,0),(Solarstrom!$I$35-Solarstrom!$E$39)/12*(13-Solarstrom!$I$47))*$AU$15</f>
        <v>0</v>
      </c>
      <c r="BE17" s="631">
        <f>BE16+($BE$16*Solarstrom!$I$21)</f>
        <v>0.28000000000000003</v>
      </c>
      <c r="BF17" s="295">
        <f t="shared" ref="BF17:BF41" si="3">SUM(BC17:BD17)*BE17</f>
        <v>0</v>
      </c>
      <c r="BG17" s="318">
        <f>Solarstrom!$I$55*(Solarstrom!$M$23/100)*BH15</f>
        <v>0</v>
      </c>
      <c r="BH17" s="318">
        <f>Solarstrom!$I$55*(Solarstrom!$M$23/100)*$BI$15</f>
        <v>0</v>
      </c>
      <c r="BI17" s="318">
        <f>Solarstrom!$I$55*(Solarstrom!$M$23/100)*$BI$15</f>
        <v>0</v>
      </c>
      <c r="BJ17" s="319">
        <f t="shared" ref="BJ17:BJ35" si="4">IF($BH$11=TRUE,BG17,IF($BH$12=TRUE,BG17,IF($BH$13=TRUE,BH17,IF($BH$14=TRUE,BI17,0))))*$BJ$10</f>
        <v>0</v>
      </c>
      <c r="BK17" s="646" t="str">
        <f t="shared" ref="BK17:BK36" si="5">$BK$14</f>
        <v/>
      </c>
      <c r="BL17" s="293">
        <f t="shared" ref="BL17:BL36" si="6">$BL$14</f>
        <v>0</v>
      </c>
      <c r="BM17" s="293">
        <f t="shared" ref="BM17:BM36" si="7">IF($BM$14&lt;0,0,$BM$14)</f>
        <v>0</v>
      </c>
      <c r="BN17" s="293">
        <f t="shared" ref="BN17:BN36" si="8">IF($BN$14&lt;0,0,$BN$14)</f>
        <v>0</v>
      </c>
      <c r="BO17" s="321">
        <f t="shared" ref="BO17:BO36" si="9">$BO$14</f>
        <v>0</v>
      </c>
      <c r="BP17" s="321">
        <f t="shared" ref="BP17:BP36" si="10">$BP$14</f>
        <v>0</v>
      </c>
      <c r="BQ17" s="653">
        <f t="shared" ref="BQ17:BQ30" si="11">IF(BR17=FALSE,SUM(BK17:BP17),BR17)</f>
        <v>0</v>
      </c>
      <c r="BR17" s="636" t="b">
        <f>IF(AND($BM$2&gt;0,Solarstrom!A84&lt;Solarstrom!$I$45),SUM(Tabelle1!$BK$12:$BL$12,0))</f>
        <v>0</v>
      </c>
      <c r="BS17" s="654">
        <f>Solarstrom!A85</f>
        <v>2019</v>
      </c>
      <c r="BT17" s="655">
        <f t="shared" ref="BT17:BT35" si="12">BT16*(1+$BT$12)</f>
        <v>28</v>
      </c>
      <c r="BU17" s="655">
        <f t="shared" si="2"/>
        <v>10.02205152706825</v>
      </c>
      <c r="BV17" s="656">
        <f t="shared" ref="BV17:BV35" si="13">BT17/100*$BT$9</f>
        <v>1120</v>
      </c>
      <c r="BW17" s="656">
        <f t="shared" ref="BW17:BW35" si="14">(BT17/100)*($BT$9-$BT$10)</f>
        <v>1120</v>
      </c>
      <c r="CA17" s="282">
        <f>POWER($CB$14,1/$CA$14)</f>
        <v>0.99111397412971947</v>
      </c>
      <c r="CB17" s="285">
        <f>CA17*Solarstrom!$E$57</f>
        <v>26967.220122095536</v>
      </c>
      <c r="CC17" s="282">
        <v>1</v>
      </c>
      <c r="CD17" s="45"/>
    </row>
    <row r="18" spans="1:82" ht="15" customHeight="1">
      <c r="A18" s="313">
        <f>Solarstrom!K83+Solarstrom!M83+Solarstrom!O83</f>
        <v>3288.4612606299997</v>
      </c>
      <c r="B18" s="313">
        <f t="shared" ref="B18:B43" si="15">A18</f>
        <v>3288.4612606299997</v>
      </c>
      <c r="F18" s="632">
        <v>1</v>
      </c>
      <c r="G18" s="631">
        <v>2009</v>
      </c>
      <c r="H18" s="635">
        <f>RIGHT(G18,2)*100+F18</f>
        <v>901</v>
      </c>
      <c r="I18" s="658">
        <v>43.01</v>
      </c>
      <c r="J18" s="658">
        <v>40.909999999999997</v>
      </c>
      <c r="K18" s="658">
        <v>39.58</v>
      </c>
      <c r="L18" s="658">
        <v>33</v>
      </c>
      <c r="M18" s="658">
        <v>31.94</v>
      </c>
      <c r="O18" s="658">
        <v>25.01</v>
      </c>
      <c r="W18" s="631">
        <v>2</v>
      </c>
      <c r="X18" s="631">
        <v>2013</v>
      </c>
      <c r="Y18" s="635">
        <f t="shared" ref="Y18:Y81" si="16">RIGHT(X18,2)*100+W18</f>
        <v>1302</v>
      </c>
      <c r="Z18" s="1">
        <v>30</v>
      </c>
      <c r="AA18" s="1"/>
      <c r="AC18" s="7" t="s">
        <v>10</v>
      </c>
      <c r="AD18" s="2">
        <v>30</v>
      </c>
      <c r="AE18" s="2">
        <v>30</v>
      </c>
      <c r="AI18" s="282">
        <v>1</v>
      </c>
      <c r="AJ18" s="43">
        <f>IF($AK$14&gt;0,0,$AJ$15)</f>
        <v>0</v>
      </c>
      <c r="AK18" s="43">
        <f>IF(AJ18=0,0,AJ18-AL18)</f>
        <v>0</v>
      </c>
      <c r="AL18" s="43">
        <f>$AL$15/12*3*AM15</f>
        <v>0</v>
      </c>
      <c r="AM18" s="50">
        <f>AM15-AK18</f>
        <v>0</v>
      </c>
      <c r="AN18" s="50"/>
      <c r="AO18" s="282"/>
      <c r="AP18" s="282"/>
      <c r="AR18" s="40">
        <v>5</v>
      </c>
      <c r="AS18" s="40" t="s">
        <v>57</v>
      </c>
      <c r="AV18" s="286"/>
      <c r="AW18" s="636"/>
      <c r="AX18" s="294">
        <f>Solarstrom!A85</f>
        <v>2019</v>
      </c>
      <c r="AY18" s="308">
        <f>IF(AX18=Solarstrom!$I$45,Tabelle1!$AX$15,0)</f>
        <v>0</v>
      </c>
      <c r="AZ18" s="636"/>
      <c r="BA18" s="308">
        <v>2</v>
      </c>
      <c r="BB18" s="285"/>
      <c r="BC18" s="317">
        <f>Solarstrom!$E$39</f>
        <v>0</v>
      </c>
      <c r="BD18" s="317">
        <f>IF(AY18&gt;-1,IF(Tabelle1!AX18&gt;=Solarstrom!$I$45,Solarstrom!$I$35-Solarstrom!$E$39,0),(Solarstrom!$I$35-Solarstrom!$E$39)/12*(13-Solarstrom!$I$47))*$AU$15</f>
        <v>0</v>
      </c>
      <c r="BE18" s="631">
        <f>BE17+($BE$16*Solarstrom!$I$21)</f>
        <v>0.28000000000000003</v>
      </c>
      <c r="BF18" s="295">
        <f t="shared" si="3"/>
        <v>0</v>
      </c>
      <c r="BG18" s="318">
        <f>Solarstrom!$I$55*(Solarstrom!$M$23/100)*$BI$15</f>
        <v>0</v>
      </c>
      <c r="BH18" s="318">
        <f>Solarstrom!$I$55*(Solarstrom!$M$23/100)*$BI$15</f>
        <v>0</v>
      </c>
      <c r="BI18" s="318">
        <f>Solarstrom!$I$55*(Solarstrom!$M$23/100)*$BI$15</f>
        <v>0</v>
      </c>
      <c r="BJ18" s="319">
        <f t="shared" si="4"/>
        <v>0</v>
      </c>
      <c r="BK18" s="646" t="str">
        <f t="shared" si="5"/>
        <v/>
      </c>
      <c r="BL18" s="293">
        <f t="shared" si="6"/>
        <v>0</v>
      </c>
      <c r="BM18" s="293">
        <f t="shared" si="7"/>
        <v>0</v>
      </c>
      <c r="BN18" s="293">
        <f t="shared" si="8"/>
        <v>0</v>
      </c>
      <c r="BO18" s="321">
        <f t="shared" si="9"/>
        <v>0</v>
      </c>
      <c r="BP18" s="321">
        <f t="shared" si="10"/>
        <v>0</v>
      </c>
      <c r="BQ18" s="653">
        <f t="shared" si="11"/>
        <v>0</v>
      </c>
      <c r="BR18" s="636" t="b">
        <f>IF(AND($BM$2&gt;0,Solarstrom!A85&lt;Solarstrom!$I$45),SUM(Tabelle1!$BK$12:$BL$12,0))</f>
        <v>0</v>
      </c>
      <c r="BS18" s="654">
        <f>Solarstrom!A86</f>
        <v>2020</v>
      </c>
      <c r="BT18" s="655">
        <f t="shared" si="12"/>
        <v>28</v>
      </c>
      <c r="BU18" s="655">
        <f t="shared" si="2"/>
        <v>10.02205152706825</v>
      </c>
      <c r="BV18" s="656">
        <f t="shared" si="13"/>
        <v>1120</v>
      </c>
      <c r="BW18" s="656">
        <f t="shared" si="14"/>
        <v>1120</v>
      </c>
      <c r="CA18" s="282">
        <f t="shared" ref="CA18:CA36" si="17">CA17*POWER($CB$14,1/$CA$14)</f>
        <v>0.98230690971520618</v>
      </c>
      <c r="CB18" s="285">
        <f>CA18*Solarstrom!$E$57</f>
        <v>26727.588706441045</v>
      </c>
      <c r="CC18" s="282">
        <v>2</v>
      </c>
      <c r="CD18" s="45"/>
    </row>
    <row r="19" spans="1:82" ht="15" customHeight="1">
      <c r="A19" s="313">
        <f>Solarstrom!K84+Solarstrom!M84+Solarstrom!O84</f>
        <v>3288.4612606300002</v>
      </c>
      <c r="B19" s="313">
        <f t="shared" si="15"/>
        <v>3288.4612606300002</v>
      </c>
      <c r="F19" s="632">
        <v>2</v>
      </c>
      <c r="G19" s="631">
        <v>2009</v>
      </c>
      <c r="H19" s="635">
        <f t="shared" ref="H19:H82" si="18">RIGHT(G19,2)*100+F19</f>
        <v>902</v>
      </c>
      <c r="I19" s="658">
        <v>43.01</v>
      </c>
      <c r="J19" s="658">
        <v>40.909999999999997</v>
      </c>
      <c r="K19" s="658">
        <v>39.58</v>
      </c>
      <c r="L19" s="658">
        <v>33</v>
      </c>
      <c r="M19" s="658">
        <v>31.94</v>
      </c>
      <c r="O19" s="658">
        <v>25.01</v>
      </c>
      <c r="W19" s="631">
        <v>3</v>
      </c>
      <c r="X19" s="631">
        <v>2013</v>
      </c>
      <c r="Y19" s="635">
        <f t="shared" si="16"/>
        <v>1303</v>
      </c>
      <c r="Z19" s="1">
        <v>30</v>
      </c>
      <c r="AA19" s="1"/>
      <c r="AC19" s="7"/>
      <c r="AD19" s="2"/>
      <c r="AE19" s="2"/>
      <c r="AI19" s="282">
        <v>2</v>
      </c>
      <c r="AJ19" s="43">
        <f>IF($AK$14&gt;0,0,$AJ$15)</f>
        <v>0</v>
      </c>
      <c r="AK19" s="43">
        <f t="shared" ref="AK19:AK37" si="19">IF(AJ19=0,0,AJ19-AL19)</f>
        <v>0</v>
      </c>
      <c r="AL19" s="50">
        <f>Solarstrom!$M$39/12*3*AM18</f>
        <v>0</v>
      </c>
      <c r="AM19" s="47">
        <f t="shared" ref="AM19:AM37" si="20">AM18-AK19</f>
        <v>0</v>
      </c>
      <c r="AN19" s="47"/>
      <c r="AO19" s="282"/>
      <c r="AP19" s="282"/>
      <c r="AR19" s="40">
        <v>6</v>
      </c>
      <c r="AS19" s="40">
        <v>24</v>
      </c>
      <c r="AV19" s="286"/>
      <c r="AW19" s="636"/>
      <c r="AX19" s="294">
        <f>Solarstrom!A86</f>
        <v>2020</v>
      </c>
      <c r="AY19" s="308">
        <f>IF(AX19=Solarstrom!$I$45,Tabelle1!$AX$15,0)</f>
        <v>0</v>
      </c>
      <c r="AZ19" s="636"/>
      <c r="BA19" s="308">
        <v>3</v>
      </c>
      <c r="BB19" s="285"/>
      <c r="BC19" s="317">
        <f>Solarstrom!$E$39</f>
        <v>0</v>
      </c>
      <c r="BD19" s="317">
        <f>IF(AY19&gt;-1,IF(Tabelle1!AX19&gt;=Solarstrom!$I$45,Solarstrom!$I$35-Solarstrom!$E$39,0),(Solarstrom!$I$35-Solarstrom!$E$39)/12*(13-Solarstrom!$I$47))*$AU$15</f>
        <v>0</v>
      </c>
      <c r="BE19" s="631">
        <f>BE18+($BE$16*Solarstrom!$I$21)</f>
        <v>0.28000000000000003</v>
      </c>
      <c r="BF19" s="295">
        <f t="shared" si="3"/>
        <v>0</v>
      </c>
      <c r="BG19" s="318">
        <f>Solarstrom!$I$55*(Solarstrom!$M$23/100)*$BI$15</f>
        <v>0</v>
      </c>
      <c r="BH19" s="318">
        <f>Solarstrom!$I$55*(Solarstrom!$M$23/100)*$BI$15</f>
        <v>0</v>
      </c>
      <c r="BI19" s="318">
        <f>Solarstrom!$I$55*(Solarstrom!$M$23/100)*$BI$15</f>
        <v>0</v>
      </c>
      <c r="BJ19" s="319">
        <f t="shared" si="4"/>
        <v>0</v>
      </c>
      <c r="BK19" s="646" t="str">
        <f t="shared" si="5"/>
        <v/>
      </c>
      <c r="BL19" s="293">
        <f t="shared" si="6"/>
        <v>0</v>
      </c>
      <c r="BM19" s="293">
        <f t="shared" si="7"/>
        <v>0</v>
      </c>
      <c r="BN19" s="293">
        <f t="shared" si="8"/>
        <v>0</v>
      </c>
      <c r="BO19" s="321">
        <f t="shared" si="9"/>
        <v>0</v>
      </c>
      <c r="BP19" s="321">
        <f t="shared" si="10"/>
        <v>0</v>
      </c>
      <c r="BQ19" s="653">
        <f t="shared" si="11"/>
        <v>0</v>
      </c>
      <c r="BR19" s="636" t="b">
        <f>IF(AND($BM$2&gt;0,Solarstrom!A86&lt;Solarstrom!$I$45),SUM(Tabelle1!$BK$12:$BL$12,0))</f>
        <v>0</v>
      </c>
      <c r="BS19" s="654">
        <f>Solarstrom!A87</f>
        <v>2021</v>
      </c>
      <c r="BT19" s="655">
        <f t="shared" si="12"/>
        <v>28</v>
      </c>
      <c r="BU19" s="655">
        <f t="shared" si="2"/>
        <v>10.02205152706825</v>
      </c>
      <c r="BV19" s="656">
        <f t="shared" si="13"/>
        <v>1120</v>
      </c>
      <c r="BW19" s="656">
        <f t="shared" si="14"/>
        <v>1120</v>
      </c>
      <c r="CA19" s="282">
        <f t="shared" si="17"/>
        <v>0.97357810510292153</v>
      </c>
      <c r="CB19" s="285">
        <f>CA19*Solarstrom!$E$57</f>
        <v>26490.08666174539</v>
      </c>
      <c r="CC19" s="282">
        <v>3</v>
      </c>
      <c r="CD19" s="45"/>
    </row>
    <row r="20" spans="1:82" ht="15" customHeight="1">
      <c r="A20" s="313">
        <f>Solarstrom!K85+Solarstrom!M85+Solarstrom!O85</f>
        <v>3288.4612606300002</v>
      </c>
      <c r="B20" s="313">
        <f t="shared" si="15"/>
        <v>3288.4612606300002</v>
      </c>
      <c r="F20" s="632">
        <v>3</v>
      </c>
      <c r="G20" s="631">
        <v>2009</v>
      </c>
      <c r="H20" s="635">
        <f t="shared" si="18"/>
        <v>903</v>
      </c>
      <c r="I20" s="658">
        <v>43.01</v>
      </c>
      <c r="J20" s="658">
        <v>40.909999999999997</v>
      </c>
      <c r="K20" s="658">
        <v>39.58</v>
      </c>
      <c r="L20" s="658">
        <v>33</v>
      </c>
      <c r="M20" s="658">
        <v>31.94</v>
      </c>
      <c r="O20" s="658">
        <v>25.01</v>
      </c>
      <c r="W20" s="631">
        <v>4</v>
      </c>
      <c r="X20" s="631">
        <v>2013</v>
      </c>
      <c r="Y20" s="635">
        <f t="shared" si="16"/>
        <v>1304</v>
      </c>
      <c r="Z20" s="1">
        <v>30</v>
      </c>
      <c r="AA20" s="1"/>
      <c r="AC20" s="7" t="s">
        <v>11</v>
      </c>
      <c r="AD20" s="707">
        <f>ROUND(Solarstrom!E55,1)</f>
        <v>29.9</v>
      </c>
      <c r="AE20" s="707">
        <f>AD20</f>
        <v>29.9</v>
      </c>
      <c r="AI20" s="282">
        <v>3</v>
      </c>
      <c r="AJ20" s="43">
        <f>IF($AK$14&gt;0,0,$AJ$15)</f>
        <v>0</v>
      </c>
      <c r="AK20" s="43">
        <f t="shared" si="19"/>
        <v>0</v>
      </c>
      <c r="AL20" s="50">
        <f>Solarstrom!$M$39/12*3*AM19</f>
        <v>0</v>
      </c>
      <c r="AM20" s="47">
        <f t="shared" si="20"/>
        <v>0</v>
      </c>
      <c r="AN20" s="47"/>
      <c r="AO20" s="282"/>
      <c r="AP20" s="282"/>
      <c r="AR20" s="40">
        <v>7</v>
      </c>
      <c r="AS20" s="40">
        <v>28</v>
      </c>
      <c r="AV20" s="286"/>
      <c r="AW20" s="636"/>
      <c r="AX20" s="294">
        <f>Solarstrom!A87</f>
        <v>2021</v>
      </c>
      <c r="AY20" s="308">
        <f>IF(AX20=Solarstrom!$I$45,Tabelle1!$AX$15,0)</f>
        <v>0</v>
      </c>
      <c r="AZ20" s="636"/>
      <c r="BA20" s="308">
        <v>4</v>
      </c>
      <c r="BB20" s="285"/>
      <c r="BC20" s="317">
        <f>Solarstrom!$E$39</f>
        <v>0</v>
      </c>
      <c r="BD20" s="317">
        <f>IF(AY20&gt;-1,IF(Tabelle1!AX20&gt;=Solarstrom!$I$45,Solarstrom!$I$35-Solarstrom!$E$39,0),(Solarstrom!$I$35-Solarstrom!$E$39)/12*(13-Solarstrom!$I$47))*$AU$15</f>
        <v>0</v>
      </c>
      <c r="BE20" s="631">
        <f>BE19+($BE$16*Solarstrom!$I$21)</f>
        <v>0.28000000000000003</v>
      </c>
      <c r="BF20" s="295">
        <f t="shared" si="3"/>
        <v>0</v>
      </c>
      <c r="BG20" s="318">
        <f>Solarstrom!$I$55*(Solarstrom!$M$23/100)*$BI$15</f>
        <v>0</v>
      </c>
      <c r="BH20" s="318">
        <f>Solarstrom!$I$55*(Solarstrom!$M$23/100)*$BI$15</f>
        <v>0</v>
      </c>
      <c r="BI20" s="318">
        <f>Solarstrom!$I$55*(Solarstrom!$M$23/100)*$BI$15</f>
        <v>0</v>
      </c>
      <c r="BJ20" s="319">
        <f t="shared" si="4"/>
        <v>0</v>
      </c>
      <c r="BK20" s="646" t="str">
        <f t="shared" si="5"/>
        <v/>
      </c>
      <c r="BL20" s="293">
        <f t="shared" si="6"/>
        <v>0</v>
      </c>
      <c r="BM20" s="293">
        <f t="shared" si="7"/>
        <v>0</v>
      </c>
      <c r="BN20" s="293">
        <f t="shared" si="8"/>
        <v>0</v>
      </c>
      <c r="BO20" s="321">
        <f t="shared" si="9"/>
        <v>0</v>
      </c>
      <c r="BP20" s="321">
        <f t="shared" si="10"/>
        <v>0</v>
      </c>
      <c r="BQ20" s="653">
        <f t="shared" si="11"/>
        <v>0</v>
      </c>
      <c r="BR20" s="636" t="b">
        <f>IF(AND($BM$2&gt;0,Solarstrom!A87&lt;Solarstrom!$I$45),SUM(Tabelle1!$BK$12:$BL$12,0))</f>
        <v>0</v>
      </c>
      <c r="BS20" s="654">
        <f>Solarstrom!A88</f>
        <v>2022</v>
      </c>
      <c r="BT20" s="655">
        <f t="shared" si="12"/>
        <v>28</v>
      </c>
      <c r="BU20" s="655">
        <f t="shared" si="2"/>
        <v>10.02205152706825</v>
      </c>
      <c r="BV20" s="656">
        <f t="shared" si="13"/>
        <v>1120</v>
      </c>
      <c r="BW20" s="656">
        <f t="shared" si="14"/>
        <v>1120</v>
      </c>
      <c r="CA20" s="282">
        <f t="shared" si="17"/>
        <v>0.96492686487423829</v>
      </c>
      <c r="CB20" s="285">
        <f>CA20*Solarstrom!$E$57</f>
        <v>26254.695066363151</v>
      </c>
      <c r="CC20" s="282">
        <v>4</v>
      </c>
      <c r="CD20" s="45"/>
    </row>
    <row r="21" spans="1:82" ht="15" customHeight="1">
      <c r="A21" s="313">
        <f>Solarstrom!K86+Solarstrom!M86+Solarstrom!O86</f>
        <v>3288.4612606300002</v>
      </c>
      <c r="B21" s="313">
        <f t="shared" si="15"/>
        <v>3288.4612606300002</v>
      </c>
      <c r="F21" s="632">
        <v>4</v>
      </c>
      <c r="G21" s="631">
        <v>2009</v>
      </c>
      <c r="H21" s="635">
        <f t="shared" si="18"/>
        <v>904</v>
      </c>
      <c r="I21" s="658">
        <v>43.01</v>
      </c>
      <c r="J21" s="658">
        <v>40.909999999999997</v>
      </c>
      <c r="K21" s="658">
        <v>39.58</v>
      </c>
      <c r="L21" s="658">
        <v>33</v>
      </c>
      <c r="M21" s="658">
        <v>31.94</v>
      </c>
      <c r="O21" s="658">
        <v>25.01</v>
      </c>
      <c r="W21" s="631">
        <v>5</v>
      </c>
      <c r="X21" s="631">
        <v>2013</v>
      </c>
      <c r="Y21" s="635">
        <f t="shared" si="16"/>
        <v>1305</v>
      </c>
      <c r="Z21" s="1">
        <v>30</v>
      </c>
      <c r="AA21" s="1"/>
      <c r="AC21" s="7"/>
      <c r="AD21" s="2"/>
      <c r="AE21" s="2"/>
      <c r="AI21" s="282">
        <v>4</v>
      </c>
      <c r="AJ21" s="43">
        <f>IF($AK$14&gt;0,0,$AJ$15)</f>
        <v>0</v>
      </c>
      <c r="AK21" s="43">
        <f t="shared" si="19"/>
        <v>0</v>
      </c>
      <c r="AL21" s="50">
        <f>Solarstrom!$M$39/12*3*AM20</f>
        <v>0</v>
      </c>
      <c r="AM21" s="47">
        <f t="shared" si="20"/>
        <v>0</v>
      </c>
      <c r="AN21" s="47">
        <f>SUM(AJ18:AJ21)</f>
        <v>0</v>
      </c>
      <c r="AO21" s="43">
        <f>SUM(AK18:AK21)</f>
        <v>0</v>
      </c>
      <c r="AP21" s="43">
        <f>SUM(AL18:AL21)</f>
        <v>0</v>
      </c>
      <c r="AR21" s="40">
        <v>8</v>
      </c>
      <c r="AS21" s="40">
        <v>32</v>
      </c>
      <c r="AV21" s="286"/>
      <c r="AW21" s="636"/>
      <c r="AX21" s="294">
        <f>Solarstrom!A88</f>
        <v>2022</v>
      </c>
      <c r="AY21" s="308">
        <f>IF(AX21=Solarstrom!$I$45,Tabelle1!$AX$15,0)</f>
        <v>0</v>
      </c>
      <c r="AZ21" s="636"/>
      <c r="BA21" s="308">
        <v>5</v>
      </c>
      <c r="BB21" s="285"/>
      <c r="BC21" s="317">
        <f>Solarstrom!$E$39</f>
        <v>0</v>
      </c>
      <c r="BD21" s="317">
        <f>IF(AY21&gt;-1,IF(Tabelle1!AX21&gt;=Solarstrom!$I$45,Solarstrom!$I$35-Solarstrom!$E$39,0),(Solarstrom!$I$35-Solarstrom!$E$39)/12*(13-Solarstrom!$I$47))*$AU$15</f>
        <v>0</v>
      </c>
      <c r="BE21" s="631">
        <f>BE20+($BE$16*Solarstrom!$I$21)</f>
        <v>0.28000000000000003</v>
      </c>
      <c r="BF21" s="295">
        <f t="shared" si="3"/>
        <v>0</v>
      </c>
      <c r="BG21" s="318">
        <f>Solarstrom!$I$55*(Solarstrom!$M$23/100)*$BI$15</f>
        <v>0</v>
      </c>
      <c r="BH21" s="318">
        <f>Solarstrom!$I$55*(Solarstrom!$M$23/100)*$BI$15</f>
        <v>0</v>
      </c>
      <c r="BI21" s="318">
        <f>Solarstrom!$I$55*(Solarstrom!$M$23/100)*$BI$15</f>
        <v>0</v>
      </c>
      <c r="BJ21" s="319">
        <f t="shared" si="4"/>
        <v>0</v>
      </c>
      <c r="BK21" s="646" t="str">
        <f t="shared" si="5"/>
        <v/>
      </c>
      <c r="BL21" s="293">
        <f t="shared" si="6"/>
        <v>0</v>
      </c>
      <c r="BM21" s="293">
        <f t="shared" si="7"/>
        <v>0</v>
      </c>
      <c r="BN21" s="293">
        <f t="shared" si="8"/>
        <v>0</v>
      </c>
      <c r="BO21" s="321">
        <f t="shared" si="9"/>
        <v>0</v>
      </c>
      <c r="BP21" s="321">
        <f t="shared" si="10"/>
        <v>0</v>
      </c>
      <c r="BQ21" s="653">
        <f t="shared" si="11"/>
        <v>0</v>
      </c>
      <c r="BR21" s="636" t="b">
        <f>IF(AND($BM$2&gt;0,Solarstrom!A88&lt;Solarstrom!$I$45),SUM(Tabelle1!$BK$12:$BL$12,0))</f>
        <v>0</v>
      </c>
      <c r="BS21" s="654">
        <f>Solarstrom!A89</f>
        <v>2023</v>
      </c>
      <c r="BT21" s="655">
        <f t="shared" si="12"/>
        <v>28</v>
      </c>
      <c r="BU21" s="655">
        <f t="shared" si="2"/>
        <v>10.02205152706825</v>
      </c>
      <c r="BV21" s="656">
        <f t="shared" si="13"/>
        <v>1120</v>
      </c>
      <c r="BW21" s="656">
        <f t="shared" si="14"/>
        <v>1120</v>
      </c>
      <c r="CA21" s="282">
        <f t="shared" si="17"/>
        <v>0.95635249979003711</v>
      </c>
      <c r="CB21" s="285">
        <f>CA21*Solarstrom!$E$57</f>
        <v>26021.395166787119</v>
      </c>
      <c r="CC21" s="282">
        <v>5</v>
      </c>
      <c r="CD21" s="45"/>
    </row>
    <row r="22" spans="1:82" ht="15" customHeight="1">
      <c r="A22" s="313">
        <f>Solarstrom!K87+Solarstrom!M87+Solarstrom!O87</f>
        <v>3288.4612606300002</v>
      </c>
      <c r="B22" s="313">
        <f t="shared" si="15"/>
        <v>3288.4612606300002</v>
      </c>
      <c r="F22" s="632">
        <v>5</v>
      </c>
      <c r="G22" s="631">
        <v>2009</v>
      </c>
      <c r="H22" s="635">
        <f t="shared" si="18"/>
        <v>905</v>
      </c>
      <c r="I22" s="658">
        <v>43.01</v>
      </c>
      <c r="J22" s="658">
        <v>40.909999999999997</v>
      </c>
      <c r="K22" s="658">
        <v>39.58</v>
      </c>
      <c r="L22" s="658">
        <v>33</v>
      </c>
      <c r="M22" s="658">
        <v>31.94</v>
      </c>
      <c r="O22" s="658">
        <v>25.01</v>
      </c>
      <c r="W22" s="631">
        <v>6</v>
      </c>
      <c r="X22" s="631">
        <v>2013</v>
      </c>
      <c r="Y22" s="635">
        <f t="shared" si="16"/>
        <v>1306</v>
      </c>
      <c r="Z22" s="1">
        <v>30</v>
      </c>
      <c r="AA22" s="1"/>
      <c r="AC22" s="7" t="s">
        <v>12</v>
      </c>
      <c r="AD22" s="1">
        <f>IF(AC8=1,1,0)</f>
        <v>0</v>
      </c>
      <c r="AE22" s="1">
        <f>IF(AC7=1,1,0)</f>
        <v>0</v>
      </c>
      <c r="AI22" s="282">
        <v>5</v>
      </c>
      <c r="AJ22" s="43">
        <f>IF($AK$14&gt;4,0,$AJ$15)</f>
        <v>0</v>
      </c>
      <c r="AK22" s="43">
        <f t="shared" si="19"/>
        <v>0</v>
      </c>
      <c r="AL22" s="50">
        <f>Solarstrom!$M$39/12*3*AM21</f>
        <v>0</v>
      </c>
      <c r="AM22" s="47">
        <f t="shared" si="20"/>
        <v>0</v>
      </c>
      <c r="AN22" s="47"/>
      <c r="AO22" s="282"/>
      <c r="AP22" s="282"/>
      <c r="AR22" s="40">
        <v>9</v>
      </c>
      <c r="AS22" s="163">
        <v>36</v>
      </c>
      <c r="AV22" s="286"/>
      <c r="AW22" s="636"/>
      <c r="AX22" s="294">
        <f>Solarstrom!A89</f>
        <v>2023</v>
      </c>
      <c r="AY22" s="308">
        <f>IF(AX22=Solarstrom!$I$45,Tabelle1!$AX$15,0)</f>
        <v>0</v>
      </c>
      <c r="AZ22" s="636"/>
      <c r="BA22" s="308">
        <v>6</v>
      </c>
      <c r="BB22" s="285"/>
      <c r="BC22" s="317">
        <f>Solarstrom!$E$39</f>
        <v>0</v>
      </c>
      <c r="BD22" s="317">
        <f>IF(AY22&gt;-1,IF(Tabelle1!AX22&gt;=Solarstrom!$I$45,Solarstrom!$I$35-Solarstrom!$E$39,0),(Solarstrom!$I$35-Solarstrom!$E$39)/12*(13-Solarstrom!$I$47))*$AU$15</f>
        <v>0</v>
      </c>
      <c r="BE22" s="631">
        <f>BE21+($BE$16*Solarstrom!$I$21)</f>
        <v>0.28000000000000003</v>
      </c>
      <c r="BF22" s="295">
        <f t="shared" si="3"/>
        <v>0</v>
      </c>
      <c r="BG22" s="318">
        <f>Solarstrom!$I$55*(Solarstrom!$M$23/100)*$BI$15</f>
        <v>0</v>
      </c>
      <c r="BH22" s="318">
        <f>Solarstrom!$I$55*(Solarstrom!$M$23/100)*$BI$15</f>
        <v>0</v>
      </c>
      <c r="BI22" s="318">
        <f>Solarstrom!$I$55*(Solarstrom!$M$23/100)*$BI$15</f>
        <v>0</v>
      </c>
      <c r="BJ22" s="319">
        <f t="shared" si="4"/>
        <v>0</v>
      </c>
      <c r="BK22" s="646" t="str">
        <f t="shared" si="5"/>
        <v/>
      </c>
      <c r="BL22" s="293">
        <f t="shared" si="6"/>
        <v>0</v>
      </c>
      <c r="BM22" s="293">
        <f t="shared" si="7"/>
        <v>0</v>
      </c>
      <c r="BN22" s="293">
        <f t="shared" si="8"/>
        <v>0</v>
      </c>
      <c r="BO22" s="321">
        <f t="shared" si="9"/>
        <v>0</v>
      </c>
      <c r="BP22" s="321">
        <f t="shared" si="10"/>
        <v>0</v>
      </c>
      <c r="BQ22" s="653">
        <f t="shared" si="11"/>
        <v>0</v>
      </c>
      <c r="BR22" s="636" t="b">
        <f>IF(AND($BM$2&gt;0,Solarstrom!A89&lt;Solarstrom!$I$45),SUM(Tabelle1!$BK$12:$BL$12,0))</f>
        <v>0</v>
      </c>
      <c r="BS22" s="654">
        <f>Solarstrom!A90</f>
        <v>2024</v>
      </c>
      <c r="BT22" s="655">
        <f t="shared" si="12"/>
        <v>28</v>
      </c>
      <c r="BU22" s="655">
        <f t="shared" si="2"/>
        <v>10.02205152706825</v>
      </c>
      <c r="BV22" s="656">
        <f t="shared" si="13"/>
        <v>1120</v>
      </c>
      <c r="BW22" s="656">
        <f t="shared" si="14"/>
        <v>1120</v>
      </c>
      <c r="CA22" s="282">
        <f t="shared" si="17"/>
        <v>0.94785432673579539</v>
      </c>
      <c r="CB22" s="285">
        <f>CA22*Solarstrom!$E$57</f>
        <v>25790.168376154255</v>
      </c>
      <c r="CC22" s="282">
        <v>6</v>
      </c>
      <c r="CD22" s="45"/>
    </row>
    <row r="23" spans="1:82" ht="15" customHeight="1">
      <c r="A23" s="313">
        <f>Solarstrom!K88+Solarstrom!M88+Solarstrom!O88</f>
        <v>3288.4612606300002</v>
      </c>
      <c r="B23" s="313">
        <f t="shared" si="15"/>
        <v>3288.4612606300002</v>
      </c>
      <c r="F23" s="632">
        <v>6</v>
      </c>
      <c r="G23" s="631">
        <v>2009</v>
      </c>
      <c r="H23" s="635">
        <f t="shared" si="18"/>
        <v>906</v>
      </c>
      <c r="I23" s="658">
        <v>43.01</v>
      </c>
      <c r="J23" s="658">
        <v>40.909999999999997</v>
      </c>
      <c r="K23" s="658">
        <v>39.58</v>
      </c>
      <c r="L23" s="658">
        <v>33</v>
      </c>
      <c r="M23" s="658">
        <v>31.94</v>
      </c>
      <c r="O23" s="658">
        <v>25.01</v>
      </c>
      <c r="W23" s="631">
        <v>7</v>
      </c>
      <c r="X23" s="631">
        <v>2013</v>
      </c>
      <c r="Y23" s="635">
        <f t="shared" si="16"/>
        <v>1307</v>
      </c>
      <c r="Z23" s="1">
        <v>30</v>
      </c>
      <c r="AA23" s="1"/>
      <c r="AC23" s="7"/>
      <c r="AD23" s="1"/>
      <c r="AE23" s="1"/>
      <c r="AI23" s="282">
        <v>6</v>
      </c>
      <c r="AJ23" s="43">
        <f>IF($AK$14&gt;4,0,$AJ$15)</f>
        <v>0</v>
      </c>
      <c r="AK23" s="43">
        <f t="shared" si="19"/>
        <v>0</v>
      </c>
      <c r="AL23" s="50">
        <f>Solarstrom!$M$39/12*3*AM22</f>
        <v>0</v>
      </c>
      <c r="AM23" s="47">
        <f t="shared" si="20"/>
        <v>0</v>
      </c>
      <c r="AN23" s="47"/>
      <c r="AO23" s="282"/>
      <c r="AP23" s="282"/>
      <c r="AR23" s="40">
        <v>10</v>
      </c>
      <c r="AS23" s="163" t="s">
        <v>48</v>
      </c>
      <c r="AV23" s="286"/>
      <c r="AW23" s="636"/>
      <c r="AX23" s="294">
        <f>Solarstrom!A90</f>
        <v>2024</v>
      </c>
      <c r="AY23" s="308">
        <f>IF(AX23=Solarstrom!$I$45,Tabelle1!$AX$15,0)</f>
        <v>0</v>
      </c>
      <c r="AZ23" s="636"/>
      <c r="BA23" s="308">
        <v>7</v>
      </c>
      <c r="BB23" s="285"/>
      <c r="BC23" s="317">
        <f>Solarstrom!$E$39</f>
        <v>0</v>
      </c>
      <c r="BD23" s="317">
        <f>IF(AY23&gt;-1,IF(Tabelle1!AX23&gt;=Solarstrom!$I$45,Solarstrom!$I$35-Solarstrom!$E$39,0),(Solarstrom!$I$35-Solarstrom!$E$39)/12*(13-Solarstrom!$I$47))*$AU$15</f>
        <v>0</v>
      </c>
      <c r="BE23" s="631">
        <f>BE22+($BE$16*Solarstrom!$I$21)</f>
        <v>0.28000000000000003</v>
      </c>
      <c r="BF23" s="295">
        <f t="shared" si="3"/>
        <v>0</v>
      </c>
      <c r="BG23" s="318">
        <f>Solarstrom!$I$55*(Solarstrom!$M$23/100)*$BI$15</f>
        <v>0</v>
      </c>
      <c r="BH23" s="318">
        <f>Solarstrom!$I$55*(Solarstrom!$M$23/100)*$BI$15</f>
        <v>0</v>
      </c>
      <c r="BI23" s="318">
        <f>Solarstrom!$I$55*(Solarstrom!$M$23/100)*$BI$15</f>
        <v>0</v>
      </c>
      <c r="BJ23" s="319">
        <f t="shared" si="4"/>
        <v>0</v>
      </c>
      <c r="BK23" s="646" t="str">
        <f t="shared" si="5"/>
        <v/>
      </c>
      <c r="BL23" s="293">
        <f t="shared" si="6"/>
        <v>0</v>
      </c>
      <c r="BM23" s="293">
        <f t="shared" si="7"/>
        <v>0</v>
      </c>
      <c r="BN23" s="293">
        <f t="shared" si="8"/>
        <v>0</v>
      </c>
      <c r="BO23" s="321">
        <f t="shared" si="9"/>
        <v>0</v>
      </c>
      <c r="BP23" s="321">
        <f t="shared" si="10"/>
        <v>0</v>
      </c>
      <c r="BQ23" s="653">
        <f t="shared" si="11"/>
        <v>0</v>
      </c>
      <c r="BR23" s="636" t="b">
        <f>IF(AND($BM$2&gt;0,Solarstrom!A90&lt;Solarstrom!$I$45),SUM(Tabelle1!$BK$12:$BL$12,0))</f>
        <v>0</v>
      </c>
      <c r="BS23" s="654">
        <f>Solarstrom!A91</f>
        <v>2025</v>
      </c>
      <c r="BT23" s="655">
        <f t="shared" si="12"/>
        <v>28</v>
      </c>
      <c r="BU23" s="655">
        <f t="shared" si="2"/>
        <v>10.02205152706825</v>
      </c>
      <c r="BV23" s="656">
        <f t="shared" si="13"/>
        <v>1120</v>
      </c>
      <c r="BW23" s="656">
        <f t="shared" si="14"/>
        <v>1120</v>
      </c>
      <c r="CA23" s="282">
        <f t="shared" si="17"/>
        <v>0.93943166866716377</v>
      </c>
      <c r="CB23" s="285">
        <f>CA23*Solarstrom!$E$57</f>
        <v>25560.99627276486</v>
      </c>
      <c r="CC23" s="282">
        <v>7</v>
      </c>
      <c r="CD23" s="45"/>
    </row>
    <row r="24" spans="1:82" ht="15" customHeight="1">
      <c r="A24" s="313">
        <f>Solarstrom!K89+Solarstrom!M89+Solarstrom!O89</f>
        <v>3288.4612606300002</v>
      </c>
      <c r="B24" s="313">
        <f t="shared" si="15"/>
        <v>3288.4612606300002</v>
      </c>
      <c r="F24" s="632">
        <v>7</v>
      </c>
      <c r="G24" s="631">
        <v>2009</v>
      </c>
      <c r="H24" s="635">
        <f t="shared" si="18"/>
        <v>907</v>
      </c>
      <c r="I24" s="658">
        <v>43.01</v>
      </c>
      <c r="J24" s="658">
        <v>40.909999999999997</v>
      </c>
      <c r="K24" s="658">
        <v>39.58</v>
      </c>
      <c r="L24" s="658">
        <v>33</v>
      </c>
      <c r="M24" s="658">
        <v>31.94</v>
      </c>
      <c r="O24" s="658">
        <v>25.01</v>
      </c>
      <c r="W24" s="631">
        <v>8</v>
      </c>
      <c r="X24" s="631">
        <v>2013</v>
      </c>
      <c r="Y24" s="635">
        <f t="shared" si="16"/>
        <v>1308</v>
      </c>
      <c r="Z24" s="1">
        <v>30</v>
      </c>
      <c r="AA24" s="1"/>
      <c r="AC24" s="7" t="s">
        <v>13</v>
      </c>
      <c r="AD24" s="3">
        <v>2200</v>
      </c>
      <c r="AE24" s="3">
        <v>2000</v>
      </c>
      <c r="AI24" s="282">
        <v>7</v>
      </c>
      <c r="AJ24" s="43">
        <f>IF($AK$14&gt;4,0,$AJ$15)</f>
        <v>0</v>
      </c>
      <c r="AK24" s="43">
        <f t="shared" si="19"/>
        <v>0</v>
      </c>
      <c r="AL24" s="50">
        <f>Solarstrom!$M$39/12*3*AM23</f>
        <v>0</v>
      </c>
      <c r="AM24" s="49">
        <f t="shared" si="20"/>
        <v>0</v>
      </c>
      <c r="AN24" s="47"/>
      <c r="AO24" s="282"/>
      <c r="AP24" s="282"/>
      <c r="AR24" s="40">
        <v>11</v>
      </c>
      <c r="AS24" s="163">
        <v>44</v>
      </c>
      <c r="AV24" s="286"/>
      <c r="AW24" s="636"/>
      <c r="AX24" s="294">
        <f>Solarstrom!A91</f>
        <v>2025</v>
      </c>
      <c r="AY24" s="308">
        <f>IF(AX24=Solarstrom!$I$45,Tabelle1!$AX$15,0)</f>
        <v>0</v>
      </c>
      <c r="AZ24" s="636"/>
      <c r="BA24" s="308">
        <v>8</v>
      </c>
      <c r="BB24" s="285"/>
      <c r="BC24" s="317">
        <f>Solarstrom!$E$39</f>
        <v>0</v>
      </c>
      <c r="BD24" s="317">
        <f>IF(AY24&gt;-1,IF(Tabelle1!AX24&gt;=Solarstrom!$I$45,Solarstrom!$I$35-Solarstrom!$E$39,0),(Solarstrom!$I$35-Solarstrom!$E$39)/12*(13-Solarstrom!$I$47))*$AU$15</f>
        <v>0</v>
      </c>
      <c r="BE24" s="631">
        <f>BE23+($BE$16*Solarstrom!$I$21)</f>
        <v>0.28000000000000003</v>
      </c>
      <c r="BF24" s="295">
        <f t="shared" si="3"/>
        <v>0</v>
      </c>
      <c r="BG24" s="318">
        <f>Solarstrom!$I$55*(Solarstrom!$M$23/100)*$BI$15</f>
        <v>0</v>
      </c>
      <c r="BH24" s="318">
        <f>Solarstrom!$I$55*(Solarstrom!$M$23/100)*$BI$15</f>
        <v>0</v>
      </c>
      <c r="BI24" s="318">
        <f>Solarstrom!$I$55*(Solarstrom!$M$23/100)*$BI$15</f>
        <v>0</v>
      </c>
      <c r="BJ24" s="319">
        <f t="shared" si="4"/>
        <v>0</v>
      </c>
      <c r="BK24" s="646" t="str">
        <f t="shared" si="5"/>
        <v/>
      </c>
      <c r="BL24" s="293">
        <f t="shared" si="6"/>
        <v>0</v>
      </c>
      <c r="BM24" s="293">
        <f t="shared" si="7"/>
        <v>0</v>
      </c>
      <c r="BN24" s="293">
        <f t="shared" si="8"/>
        <v>0</v>
      </c>
      <c r="BO24" s="321">
        <f t="shared" si="9"/>
        <v>0</v>
      </c>
      <c r="BP24" s="321">
        <f t="shared" si="10"/>
        <v>0</v>
      </c>
      <c r="BQ24" s="653">
        <f t="shared" si="11"/>
        <v>0</v>
      </c>
      <c r="BR24" s="636" t="b">
        <f>IF(AND($BM$2&gt;0,Solarstrom!A91&lt;Solarstrom!$I$45),SUM(Tabelle1!$BK$12:$BL$12,0))</f>
        <v>0</v>
      </c>
      <c r="BS24" s="654">
        <f>Solarstrom!A92</f>
        <v>2026</v>
      </c>
      <c r="BT24" s="655">
        <f t="shared" si="12"/>
        <v>28</v>
      </c>
      <c r="BU24" s="655">
        <f t="shared" si="2"/>
        <v>10.02205152706825</v>
      </c>
      <c r="BV24" s="656">
        <f t="shared" si="13"/>
        <v>1120</v>
      </c>
      <c r="BW24" s="656">
        <f t="shared" si="14"/>
        <v>1120</v>
      </c>
      <c r="CA24" s="282">
        <f t="shared" si="17"/>
        <v>0.93108385455602649</v>
      </c>
      <c r="CB24" s="285">
        <f>CA24*Solarstrom!$E$57</f>
        <v>25333.860598614923</v>
      </c>
      <c r="CC24" s="282">
        <v>8</v>
      </c>
      <c r="CD24" s="45"/>
    </row>
    <row r="25" spans="1:82" ht="15" customHeight="1">
      <c r="A25" s="313">
        <f>Solarstrom!K90+Solarstrom!M90+Solarstrom!O90</f>
        <v>3288.4612606300002</v>
      </c>
      <c r="B25" s="313">
        <f t="shared" si="15"/>
        <v>3288.4612606300002</v>
      </c>
      <c r="F25" s="632">
        <v>8</v>
      </c>
      <c r="G25" s="631">
        <v>2009</v>
      </c>
      <c r="H25" s="635">
        <f t="shared" si="18"/>
        <v>908</v>
      </c>
      <c r="I25" s="658">
        <v>43.01</v>
      </c>
      <c r="J25" s="658">
        <v>40.909999999999997</v>
      </c>
      <c r="K25" s="658">
        <v>39.58</v>
      </c>
      <c r="L25" s="658">
        <v>33</v>
      </c>
      <c r="M25" s="658">
        <v>31.94</v>
      </c>
      <c r="O25" s="658">
        <v>25.01</v>
      </c>
      <c r="W25" s="631">
        <v>9</v>
      </c>
      <c r="X25" s="631">
        <v>2013</v>
      </c>
      <c r="Y25" s="635">
        <f t="shared" si="16"/>
        <v>1309</v>
      </c>
      <c r="Z25" s="1">
        <v>30</v>
      </c>
      <c r="AA25" s="1"/>
      <c r="AC25" s="7"/>
      <c r="AD25" s="3"/>
      <c r="AE25" s="3"/>
      <c r="AI25" s="282">
        <v>8</v>
      </c>
      <c r="AJ25" s="43">
        <f>IF($AK$14&gt;4,0,$AJ$15)</f>
        <v>0</v>
      </c>
      <c r="AK25" s="43">
        <f t="shared" si="19"/>
        <v>0</v>
      </c>
      <c r="AL25" s="50">
        <f>Solarstrom!$M$39/12*3*AM24</f>
        <v>0</v>
      </c>
      <c r="AM25" s="49">
        <f t="shared" si="20"/>
        <v>0</v>
      </c>
      <c r="AN25" s="47">
        <f>SUM(AJ22:AJ25)</f>
        <v>0</v>
      </c>
      <c r="AO25" s="43">
        <f>SUM(AK22:AK25)</f>
        <v>0</v>
      </c>
      <c r="AP25" s="43">
        <f>SUM(AL22:AL25)</f>
        <v>0</v>
      </c>
      <c r="AR25" s="40">
        <v>12</v>
      </c>
      <c r="AS25" s="163">
        <v>48</v>
      </c>
      <c r="AV25" s="286"/>
      <c r="AW25" s="636"/>
      <c r="AX25" s="294">
        <f>Solarstrom!A92</f>
        <v>2026</v>
      </c>
      <c r="AY25" s="308">
        <f>IF(AX25=Solarstrom!$I$45,Tabelle1!$AX$15,0)</f>
        <v>0</v>
      </c>
      <c r="AZ25" s="636"/>
      <c r="BA25" s="308">
        <v>9</v>
      </c>
      <c r="BB25" s="285"/>
      <c r="BC25" s="317">
        <f>Solarstrom!$E$39</f>
        <v>0</v>
      </c>
      <c r="BD25" s="317">
        <f>IF(AY25&gt;-1,IF(Tabelle1!AX25&gt;=Solarstrom!$I$45,Solarstrom!$I$35-Solarstrom!$E$39,0),(Solarstrom!$I$35-Solarstrom!$E$39)/12*(13-Solarstrom!$I$47))*$AU$15</f>
        <v>0</v>
      </c>
      <c r="BE25" s="631">
        <f>BE24+($BE$16*Solarstrom!$I$21)</f>
        <v>0.28000000000000003</v>
      </c>
      <c r="BF25" s="295">
        <f t="shared" si="3"/>
        <v>0</v>
      </c>
      <c r="BG25" s="318">
        <f>Solarstrom!$I$55*(Solarstrom!$M$23/100)*$BI$15</f>
        <v>0</v>
      </c>
      <c r="BH25" s="318">
        <f>Solarstrom!$I$55*(Solarstrom!$M$23/100)*$BI$15</f>
        <v>0</v>
      </c>
      <c r="BI25" s="318">
        <f>Solarstrom!$I$55*(Solarstrom!$M$23/100)*$BI$15</f>
        <v>0</v>
      </c>
      <c r="BJ25" s="319">
        <f t="shared" si="4"/>
        <v>0</v>
      </c>
      <c r="BK25" s="646" t="str">
        <f t="shared" si="5"/>
        <v/>
      </c>
      <c r="BL25" s="293">
        <f t="shared" si="6"/>
        <v>0</v>
      </c>
      <c r="BM25" s="293">
        <f t="shared" si="7"/>
        <v>0</v>
      </c>
      <c r="BN25" s="293">
        <f t="shared" si="8"/>
        <v>0</v>
      </c>
      <c r="BO25" s="321">
        <f t="shared" si="9"/>
        <v>0</v>
      </c>
      <c r="BP25" s="321">
        <f t="shared" si="10"/>
        <v>0</v>
      </c>
      <c r="BQ25" s="653">
        <f t="shared" si="11"/>
        <v>0</v>
      </c>
      <c r="BR25" s="636" t="b">
        <f>IF(AND($BM$2&gt;0,Solarstrom!A92&lt;Solarstrom!$I$45),SUM(Tabelle1!$BK$12:$BL$12,0))</f>
        <v>0</v>
      </c>
      <c r="BS25" s="654">
        <f>Solarstrom!A93</f>
        <v>2027</v>
      </c>
      <c r="BT25" s="655">
        <f t="shared" si="12"/>
        <v>28</v>
      </c>
      <c r="BU25" s="655">
        <f t="shared" si="2"/>
        <v>10.02205152706825</v>
      </c>
      <c r="BV25" s="656">
        <f t="shared" si="13"/>
        <v>1120</v>
      </c>
      <c r="BW25" s="656">
        <f t="shared" si="14"/>
        <v>1120</v>
      </c>
      <c r="CA25" s="282">
        <f t="shared" si="17"/>
        <v>0.9228102193370411</v>
      </c>
      <c r="CB25" s="285">
        <f>CA25*Solarstrom!$E$57</f>
        <v>25108.743257941551</v>
      </c>
      <c r="CC25" s="282">
        <v>9</v>
      </c>
      <c r="CD25" s="45"/>
    </row>
    <row r="26" spans="1:82" ht="15" customHeight="1">
      <c r="A26" s="313">
        <f>Solarstrom!K91+Solarstrom!M91+Solarstrom!O91</f>
        <v>3288.4612606300002</v>
      </c>
      <c r="B26" s="313">
        <f t="shared" si="15"/>
        <v>3288.4612606300002</v>
      </c>
      <c r="F26" s="632">
        <v>9</v>
      </c>
      <c r="G26" s="631">
        <v>2009</v>
      </c>
      <c r="H26" s="635">
        <f t="shared" si="18"/>
        <v>909</v>
      </c>
      <c r="I26" s="658">
        <v>43.01</v>
      </c>
      <c r="J26" s="658">
        <v>40.909999999999997</v>
      </c>
      <c r="K26" s="658">
        <v>39.58</v>
      </c>
      <c r="L26" s="658">
        <v>33</v>
      </c>
      <c r="M26" s="658">
        <v>31.94</v>
      </c>
      <c r="O26" s="658">
        <v>25.01</v>
      </c>
      <c r="W26" s="631">
        <v>10</v>
      </c>
      <c r="X26" s="631">
        <v>2013</v>
      </c>
      <c r="Y26" s="635">
        <f t="shared" si="16"/>
        <v>1310</v>
      </c>
      <c r="Z26" s="1">
        <v>30</v>
      </c>
      <c r="AA26" s="1"/>
      <c r="AC26" s="7" t="s">
        <v>578</v>
      </c>
      <c r="AD26" s="4">
        <f>IF(Solarstrom!M31=0,Solarstrom!M33,(Solarstrom!M31+Solarstrom!M33)-(AC16*AD20))</f>
        <v>-6122</v>
      </c>
      <c r="AE26" s="4">
        <f>AD26</f>
        <v>-6122</v>
      </c>
      <c r="AI26" s="282">
        <v>9</v>
      </c>
      <c r="AJ26" s="43">
        <f>IF($AK$14&gt;8,0,$AJ$15)</f>
        <v>0</v>
      </c>
      <c r="AK26" s="43">
        <f t="shared" si="19"/>
        <v>0</v>
      </c>
      <c r="AL26" s="50">
        <f>Solarstrom!$M$39/12*3*AM25</f>
        <v>0</v>
      </c>
      <c r="AM26" s="49">
        <f t="shared" si="20"/>
        <v>0</v>
      </c>
      <c r="AN26" s="47"/>
      <c r="AO26" s="282"/>
      <c r="AP26" s="282"/>
      <c r="AR26" s="40">
        <v>13</v>
      </c>
      <c r="AS26" s="163">
        <v>52</v>
      </c>
      <c r="AV26" s="286"/>
      <c r="AW26" s="636"/>
      <c r="AX26" s="294">
        <f>Solarstrom!A93</f>
        <v>2027</v>
      </c>
      <c r="AY26" s="308">
        <f>IF(AX26=Solarstrom!$I$45,Tabelle1!$AX$15,0)</f>
        <v>0</v>
      </c>
      <c r="AZ26" s="636"/>
      <c r="BA26" s="308">
        <v>10</v>
      </c>
      <c r="BB26" s="285"/>
      <c r="BC26" s="317">
        <f>Solarstrom!$E$39</f>
        <v>0</v>
      </c>
      <c r="BD26" s="317">
        <f>IF(Tabelle1!AX26&gt;=Solarstrom!$I$45,Solarstrom!$I$35-Solarstrom!$E$39,0)*$AU$15</f>
        <v>0</v>
      </c>
      <c r="BE26" s="631">
        <f>BE25+($BE$16*Solarstrom!$I$21)</f>
        <v>0.28000000000000003</v>
      </c>
      <c r="BF26" s="295">
        <f t="shared" si="3"/>
        <v>0</v>
      </c>
      <c r="BG26" s="318">
        <f>Solarstrom!$I$55*(Solarstrom!$M$23/100)*$BI$15</f>
        <v>0</v>
      </c>
      <c r="BH26" s="318">
        <f>Solarstrom!$I$55*(Solarstrom!$M$23/100)*$BI$15</f>
        <v>0</v>
      </c>
      <c r="BI26" s="318">
        <f>Solarstrom!$I$55*(Solarstrom!$M$23/100)*$BI$15</f>
        <v>0</v>
      </c>
      <c r="BJ26" s="319">
        <f t="shared" si="4"/>
        <v>0</v>
      </c>
      <c r="BK26" s="646" t="str">
        <f t="shared" si="5"/>
        <v/>
      </c>
      <c r="BL26" s="293">
        <f t="shared" si="6"/>
        <v>0</v>
      </c>
      <c r="BM26" s="293">
        <f t="shared" si="7"/>
        <v>0</v>
      </c>
      <c r="BN26" s="293">
        <f t="shared" si="8"/>
        <v>0</v>
      </c>
      <c r="BO26" s="321">
        <f t="shared" si="9"/>
        <v>0</v>
      </c>
      <c r="BP26" s="321">
        <f t="shared" si="10"/>
        <v>0</v>
      </c>
      <c r="BQ26" s="653">
        <f t="shared" si="11"/>
        <v>0</v>
      </c>
      <c r="BR26" s="636" t="b">
        <f>IF(AND($BM$2&gt;0,Solarstrom!A93&lt;Solarstrom!$I$45),SUM(Tabelle1!$BK$12:$BL$12,0))</f>
        <v>0</v>
      </c>
      <c r="BS26" s="654">
        <f>Solarstrom!A94</f>
        <v>2028</v>
      </c>
      <c r="BT26" s="655">
        <f t="shared" si="12"/>
        <v>28</v>
      </c>
      <c r="BU26" s="655">
        <f t="shared" si="2"/>
        <v>10.02205152706825</v>
      </c>
      <c r="BV26" s="656">
        <f t="shared" si="13"/>
        <v>1120</v>
      </c>
      <c r="BW26" s="656">
        <f t="shared" si="14"/>
        <v>1120</v>
      </c>
      <c r="CA26" s="282">
        <f t="shared" si="17"/>
        <v>0.91461010385465291</v>
      </c>
      <c r="CB26" s="285">
        <f>CA26*Solarstrom!$E$57</f>
        <v>24885.62631578125</v>
      </c>
      <c r="CC26" s="282">
        <v>10</v>
      </c>
      <c r="CD26" s="45"/>
    </row>
    <row r="27" spans="1:82" ht="15" customHeight="1">
      <c r="A27" s="313">
        <f>Solarstrom!K92+Solarstrom!M92+Solarstrom!O92</f>
        <v>3288.4612606300002</v>
      </c>
      <c r="B27" s="313">
        <f t="shared" si="15"/>
        <v>3288.4612606300002</v>
      </c>
      <c r="F27" s="632">
        <v>10</v>
      </c>
      <c r="G27" s="631">
        <v>2009</v>
      </c>
      <c r="H27" s="635">
        <f t="shared" si="18"/>
        <v>910</v>
      </c>
      <c r="I27" s="658">
        <v>43.01</v>
      </c>
      <c r="J27" s="658">
        <v>40.909999999999997</v>
      </c>
      <c r="K27" s="658">
        <v>39.58</v>
      </c>
      <c r="L27" s="658">
        <v>33</v>
      </c>
      <c r="M27" s="658">
        <v>31.94</v>
      </c>
      <c r="O27" s="658">
        <v>25.01</v>
      </c>
      <c r="W27" s="631">
        <v>11</v>
      </c>
      <c r="X27" s="631">
        <v>2013</v>
      </c>
      <c r="Y27" s="635">
        <f t="shared" si="16"/>
        <v>1311</v>
      </c>
      <c r="Z27" s="1">
        <v>30</v>
      </c>
      <c r="AA27" s="1"/>
      <c r="AC27" s="7"/>
      <c r="AD27" s="4"/>
      <c r="AE27" s="4"/>
      <c r="AI27" s="282">
        <v>10</v>
      </c>
      <c r="AJ27" s="43">
        <f>IF($AK$14&gt;8,0,$AJ$15)</f>
        <v>0</v>
      </c>
      <c r="AK27" s="43">
        <f t="shared" si="19"/>
        <v>0</v>
      </c>
      <c r="AL27" s="50">
        <f>Solarstrom!$M$39/12*3*AM26</f>
        <v>0</v>
      </c>
      <c r="AM27" s="49">
        <f t="shared" si="20"/>
        <v>0</v>
      </c>
      <c r="AN27" s="47"/>
      <c r="AO27" s="282"/>
      <c r="AP27" s="282"/>
      <c r="AR27" s="40">
        <v>14</v>
      </c>
      <c r="AS27" s="163">
        <v>56</v>
      </c>
      <c r="AV27" s="286"/>
      <c r="AW27" s="636"/>
      <c r="AX27" s="294">
        <f>Solarstrom!A94</f>
        <v>2028</v>
      </c>
      <c r="AY27" s="308">
        <f>IF(AX27=Solarstrom!$I$45,Tabelle1!$AX$15,0)</f>
        <v>0</v>
      </c>
      <c r="AZ27" s="636"/>
      <c r="BA27" s="308">
        <v>11</v>
      </c>
      <c r="BB27" s="285"/>
      <c r="BC27" s="317">
        <f>Solarstrom!$E$39</f>
        <v>0</v>
      </c>
      <c r="BD27" s="317">
        <f>IF(Tabelle1!AX27&gt;=Solarstrom!$I$45,Solarstrom!$I$35-Solarstrom!$E$39,0)*$AU$15</f>
        <v>0</v>
      </c>
      <c r="BE27" s="631">
        <f>BE26+($BE$16*Solarstrom!$I$21)</f>
        <v>0.28000000000000003</v>
      </c>
      <c r="BF27" s="295">
        <f t="shared" si="3"/>
        <v>0</v>
      </c>
      <c r="BG27" s="318">
        <f>Solarstrom!$I$55*(Solarstrom!$M$23/100)*$BI$15</f>
        <v>0</v>
      </c>
      <c r="BH27" s="318">
        <f>Solarstrom!$I$55*(Solarstrom!$M$23/100)*$BI$15</f>
        <v>0</v>
      </c>
      <c r="BI27" s="318">
        <f>Solarstrom!$I$55*(Solarstrom!$M$23/100)*$BI$15</f>
        <v>0</v>
      </c>
      <c r="BJ27" s="319">
        <f t="shared" si="4"/>
        <v>0</v>
      </c>
      <c r="BK27" s="646" t="str">
        <f t="shared" si="5"/>
        <v/>
      </c>
      <c r="BL27" s="293">
        <f t="shared" si="6"/>
        <v>0</v>
      </c>
      <c r="BM27" s="293">
        <f t="shared" si="7"/>
        <v>0</v>
      </c>
      <c r="BN27" s="293">
        <f t="shared" si="8"/>
        <v>0</v>
      </c>
      <c r="BO27" s="321">
        <f t="shared" si="9"/>
        <v>0</v>
      </c>
      <c r="BP27" s="321">
        <f t="shared" si="10"/>
        <v>0</v>
      </c>
      <c r="BQ27" s="653">
        <f t="shared" si="11"/>
        <v>0</v>
      </c>
      <c r="BR27" s="636" t="b">
        <f>IF(AND($BM$2&gt;0,Solarstrom!A94&lt;Solarstrom!$I$45),SUM(Tabelle1!$BK$12:$BL$12,0))</f>
        <v>0</v>
      </c>
      <c r="BS27" s="654">
        <f>Solarstrom!A95</f>
        <v>2029</v>
      </c>
      <c r="BT27" s="655">
        <f t="shared" si="12"/>
        <v>28</v>
      </c>
      <c r="BU27" s="655">
        <f t="shared" si="2"/>
        <v>10.02205152706825</v>
      </c>
      <c r="BV27" s="656">
        <f t="shared" si="13"/>
        <v>1120</v>
      </c>
      <c r="BW27" s="656">
        <f t="shared" si="14"/>
        <v>1120</v>
      </c>
      <c r="CA27" s="282">
        <f t="shared" si="17"/>
        <v>0.90648285481058055</v>
      </c>
      <c r="CB27" s="285">
        <f>CA27*Solarstrom!$E$57</f>
        <v>24664.491996541085</v>
      </c>
      <c r="CC27" s="282">
        <v>11</v>
      </c>
      <c r="CD27" s="45"/>
    </row>
    <row r="28" spans="1:82" ht="15" customHeight="1">
      <c r="A28" s="313">
        <f>Solarstrom!K93+Solarstrom!M93+Solarstrom!O93</f>
        <v>3288.4612606300002</v>
      </c>
      <c r="B28" s="313">
        <f t="shared" si="15"/>
        <v>3288.4612606300002</v>
      </c>
      <c r="F28" s="632">
        <v>11</v>
      </c>
      <c r="G28" s="631">
        <v>2009</v>
      </c>
      <c r="H28" s="635">
        <f t="shared" si="18"/>
        <v>911</v>
      </c>
      <c r="I28" s="658">
        <v>43.01</v>
      </c>
      <c r="J28" s="658">
        <v>40.909999999999997</v>
      </c>
      <c r="K28" s="658">
        <v>39.58</v>
      </c>
      <c r="L28" s="658">
        <v>33</v>
      </c>
      <c r="M28" s="658">
        <v>31.94</v>
      </c>
      <c r="O28" s="658">
        <v>25.01</v>
      </c>
      <c r="W28" s="631">
        <v>12</v>
      </c>
      <c r="X28" s="631">
        <v>2013</v>
      </c>
      <c r="Y28" s="635">
        <f t="shared" si="16"/>
        <v>1312</v>
      </c>
      <c r="Z28" s="1">
        <v>30</v>
      </c>
      <c r="AA28" s="1"/>
      <c r="AC28" s="7" t="s">
        <v>14</v>
      </c>
      <c r="AD28" s="302">
        <f>IF(AD26/AD20&gt;AD24,2200,AD26/AD20)</f>
        <v>-204.74916387959868</v>
      </c>
      <c r="AE28" s="302">
        <f>IF(AE26/AE20&gt;AE24,2000,AE26/AE20)</f>
        <v>-204.74916387959868</v>
      </c>
      <c r="AI28" s="282">
        <v>11</v>
      </c>
      <c r="AJ28" s="43">
        <f>IF($AK$14&gt;8,0,$AJ$15)</f>
        <v>0</v>
      </c>
      <c r="AK28" s="43">
        <f t="shared" si="19"/>
        <v>0</v>
      </c>
      <c r="AL28" s="50">
        <f>Solarstrom!$M$39/12*3*AM27</f>
        <v>0</v>
      </c>
      <c r="AM28" s="49">
        <f t="shared" si="20"/>
        <v>0</v>
      </c>
      <c r="AN28" s="47"/>
      <c r="AO28" s="282"/>
      <c r="AP28" s="282"/>
      <c r="AR28" s="40">
        <v>15</v>
      </c>
      <c r="AS28" s="163" t="s">
        <v>47</v>
      </c>
      <c r="AV28" s="286"/>
      <c r="AW28" s="636"/>
      <c r="AX28" s="294">
        <f>Solarstrom!A95</f>
        <v>2029</v>
      </c>
      <c r="AY28" s="308">
        <f>IF(AX28=Solarstrom!$I$45,Tabelle1!$AX$15,0)</f>
        <v>0</v>
      </c>
      <c r="AZ28" s="636"/>
      <c r="BA28" s="308">
        <v>12</v>
      </c>
      <c r="BB28" s="285"/>
      <c r="BC28" s="317">
        <f>Solarstrom!$E$39</f>
        <v>0</v>
      </c>
      <c r="BD28" s="317">
        <f>IF(Tabelle1!AX28&gt;=Solarstrom!$I$45,Solarstrom!$I$35-Solarstrom!$E$39,0)*$AU$15</f>
        <v>0</v>
      </c>
      <c r="BE28" s="631">
        <f>BE27+($BE$16*Solarstrom!$I$21)</f>
        <v>0.28000000000000003</v>
      </c>
      <c r="BF28" s="295">
        <f t="shared" si="3"/>
        <v>0</v>
      </c>
      <c r="BG28" s="318">
        <f>Solarstrom!$I$55*(Solarstrom!$M$23/100)*$BI$15</f>
        <v>0</v>
      </c>
      <c r="BH28" s="318">
        <f>Solarstrom!$I$55*(Solarstrom!$M$23/100)*$BI$15</f>
        <v>0</v>
      </c>
      <c r="BI28" s="318">
        <f>Solarstrom!$I$55*(Solarstrom!$M$23/100)*$BI$15</f>
        <v>0</v>
      </c>
      <c r="BJ28" s="319">
        <f t="shared" si="4"/>
        <v>0</v>
      </c>
      <c r="BK28" s="646" t="str">
        <f t="shared" si="5"/>
        <v/>
      </c>
      <c r="BL28" s="293">
        <f t="shared" si="6"/>
        <v>0</v>
      </c>
      <c r="BM28" s="293">
        <f t="shared" si="7"/>
        <v>0</v>
      </c>
      <c r="BN28" s="293">
        <f t="shared" si="8"/>
        <v>0</v>
      </c>
      <c r="BO28" s="321">
        <f t="shared" si="9"/>
        <v>0</v>
      </c>
      <c r="BP28" s="321">
        <f t="shared" si="10"/>
        <v>0</v>
      </c>
      <c r="BQ28" s="653">
        <f t="shared" si="11"/>
        <v>0</v>
      </c>
      <c r="BR28" s="636" t="b">
        <f>IF(AND($BM$2&gt;0,Solarstrom!A95&lt;Solarstrom!$I$45),SUM(Tabelle1!$BK$12:$BL$12,0))</f>
        <v>0</v>
      </c>
      <c r="BS28" s="654">
        <f>Solarstrom!A96</f>
        <v>2030</v>
      </c>
      <c r="BT28" s="655">
        <f t="shared" si="12"/>
        <v>28</v>
      </c>
      <c r="BU28" s="655">
        <f t="shared" si="2"/>
        <v>10.02205152706825</v>
      </c>
      <c r="BV28" s="656">
        <f t="shared" si="13"/>
        <v>1120</v>
      </c>
      <c r="BW28" s="656">
        <f t="shared" si="14"/>
        <v>1120</v>
      </c>
      <c r="CA28" s="282">
        <f t="shared" si="17"/>
        <v>0.89842782471176796</v>
      </c>
      <c r="CB28" s="285">
        <f>CA28*Solarstrom!$E$57</f>
        <v>24445.322682582493</v>
      </c>
      <c r="CC28" s="282">
        <v>12</v>
      </c>
      <c r="CD28" s="45"/>
    </row>
    <row r="29" spans="1:82" ht="15" customHeight="1">
      <c r="A29" s="313">
        <f>Solarstrom!K94+Solarstrom!M94+Solarstrom!O94</f>
        <v>3288.4612606300002</v>
      </c>
      <c r="B29" s="313">
        <f t="shared" si="15"/>
        <v>3288.4612606300002</v>
      </c>
      <c r="F29" s="632">
        <v>12</v>
      </c>
      <c r="G29" s="631">
        <v>2009</v>
      </c>
      <c r="H29" s="635">
        <f t="shared" si="18"/>
        <v>912</v>
      </c>
      <c r="I29" s="658">
        <v>43.01</v>
      </c>
      <c r="J29" s="658">
        <v>40.909999999999997</v>
      </c>
      <c r="K29" s="658">
        <v>39.58</v>
      </c>
      <c r="L29" s="658">
        <v>33</v>
      </c>
      <c r="M29" s="658">
        <v>31.94</v>
      </c>
      <c r="O29" s="658">
        <v>25.01</v>
      </c>
      <c r="W29" s="631">
        <v>1</v>
      </c>
      <c r="X29" s="631">
        <v>2014</v>
      </c>
      <c r="Y29" s="635">
        <f t="shared" si="16"/>
        <v>1401</v>
      </c>
      <c r="Z29" s="1">
        <v>30</v>
      </c>
      <c r="AA29" s="1"/>
      <c r="AC29" s="7"/>
      <c r="AD29" s="302"/>
      <c r="AE29" s="302"/>
      <c r="AI29" s="282">
        <v>12</v>
      </c>
      <c r="AJ29" s="43">
        <f>IF($AK$14&gt;8,0,$AJ$15)</f>
        <v>0</v>
      </c>
      <c r="AK29" s="43">
        <f t="shared" si="19"/>
        <v>0</v>
      </c>
      <c r="AL29" s="50">
        <f>Solarstrom!$M$39/12*3*AM28</f>
        <v>0</v>
      </c>
      <c r="AM29" s="49">
        <f t="shared" si="20"/>
        <v>0</v>
      </c>
      <c r="AN29" s="47">
        <f>SUM(AJ26:AJ29)</f>
        <v>0</v>
      </c>
      <c r="AO29" s="43">
        <f>SUM(AK26:AK29)</f>
        <v>0</v>
      </c>
      <c r="AP29" s="43">
        <f>SUM(AL26:AL29)</f>
        <v>0</v>
      </c>
      <c r="AR29" s="40">
        <v>16</v>
      </c>
      <c r="AS29" s="163">
        <v>64</v>
      </c>
      <c r="AV29" s="286"/>
      <c r="AW29" s="636"/>
      <c r="AX29" s="294">
        <f>Solarstrom!A96</f>
        <v>2030</v>
      </c>
      <c r="AY29" s="308">
        <f>IF(AX29=Solarstrom!$I$45,Tabelle1!$AX$15,0)</f>
        <v>0</v>
      </c>
      <c r="AZ29" s="636"/>
      <c r="BA29" s="308">
        <v>13</v>
      </c>
      <c r="BB29" s="285"/>
      <c r="BC29" s="317">
        <f>Solarstrom!$E$39</f>
        <v>0</v>
      </c>
      <c r="BD29" s="317">
        <f>IF(Tabelle1!AX29&gt;=Solarstrom!$I$45,Solarstrom!$I$35-Solarstrom!$E$39,0)*$AU$15</f>
        <v>0</v>
      </c>
      <c r="BE29" s="631">
        <f>BE28+($BE$16*Solarstrom!$I$21)</f>
        <v>0.28000000000000003</v>
      </c>
      <c r="BF29" s="295">
        <f t="shared" si="3"/>
        <v>0</v>
      </c>
      <c r="BG29" s="318">
        <f>Solarstrom!$I$55*(Solarstrom!$M$23/100)*$BI$15</f>
        <v>0</v>
      </c>
      <c r="BH29" s="318">
        <f>Solarstrom!$I$55*(Solarstrom!$M$23/100)*$BI$15</f>
        <v>0</v>
      </c>
      <c r="BI29" s="318">
        <f>Solarstrom!$I$55*(Solarstrom!$M$23/100)*$BI$15</f>
        <v>0</v>
      </c>
      <c r="BJ29" s="319">
        <f t="shared" si="4"/>
        <v>0</v>
      </c>
      <c r="BK29" s="646" t="str">
        <f t="shared" si="5"/>
        <v/>
      </c>
      <c r="BL29" s="293">
        <f t="shared" si="6"/>
        <v>0</v>
      </c>
      <c r="BM29" s="293">
        <f t="shared" si="7"/>
        <v>0</v>
      </c>
      <c r="BN29" s="293">
        <f t="shared" si="8"/>
        <v>0</v>
      </c>
      <c r="BO29" s="321">
        <f t="shared" si="9"/>
        <v>0</v>
      </c>
      <c r="BP29" s="321">
        <f t="shared" si="10"/>
        <v>0</v>
      </c>
      <c r="BQ29" s="653">
        <f t="shared" si="11"/>
        <v>0</v>
      </c>
      <c r="BR29" s="636" t="b">
        <f>IF(AND($BM$2&gt;0,Solarstrom!A96&lt;Solarstrom!$I$45),SUM(Tabelle1!$BK$12:$BL$12,0))</f>
        <v>0</v>
      </c>
      <c r="BS29" s="654">
        <f>Solarstrom!A97</f>
        <v>2031</v>
      </c>
      <c r="BT29" s="655">
        <f t="shared" si="12"/>
        <v>28</v>
      </c>
      <c r="BU29" s="655">
        <f t="shared" si="2"/>
        <v>10.02205152706825</v>
      </c>
      <c r="BV29" s="656">
        <f t="shared" si="13"/>
        <v>1120</v>
      </c>
      <c r="BW29" s="656">
        <f t="shared" si="14"/>
        <v>1120</v>
      </c>
      <c r="CA29" s="282">
        <f t="shared" si="17"/>
        <v>0.89044437181879932</v>
      </c>
      <c r="CB29" s="285">
        <f>CA29*Solarstrom!$E$57</f>
        <v>24228.10091281771</v>
      </c>
      <c r="CC29" s="282">
        <v>13</v>
      </c>
      <c r="CD29" s="45"/>
    </row>
    <row r="30" spans="1:82" ht="15" customHeight="1">
      <c r="A30" s="313">
        <f>Solarstrom!K95+Solarstrom!M95+Solarstrom!O95</f>
        <v>3288.4612606300002</v>
      </c>
      <c r="B30" s="313">
        <f t="shared" si="15"/>
        <v>3288.4612606300002</v>
      </c>
      <c r="D30" s="644">
        <f>1-(I30/I29)</f>
        <v>8.9979074633806055E-2</v>
      </c>
      <c r="F30" s="632">
        <v>1</v>
      </c>
      <c r="G30" s="631">
        <v>2010</v>
      </c>
      <c r="H30" s="635">
        <f t="shared" si="18"/>
        <v>1001</v>
      </c>
      <c r="I30" s="658">
        <v>39.14</v>
      </c>
      <c r="J30" s="658">
        <v>37.229999999999997</v>
      </c>
      <c r="K30" s="658">
        <v>35.229999999999997</v>
      </c>
      <c r="L30" s="658">
        <v>29.37</v>
      </c>
      <c r="M30" s="658">
        <v>28.43</v>
      </c>
      <c r="N30" s="658"/>
      <c r="O30" s="658">
        <v>22.76</v>
      </c>
      <c r="W30" s="631">
        <v>2</v>
      </c>
      <c r="X30" s="631">
        <v>2014</v>
      </c>
      <c r="Y30" s="635">
        <f t="shared" si="16"/>
        <v>1402</v>
      </c>
      <c r="Z30" s="1">
        <v>30</v>
      </c>
      <c r="AA30" s="1"/>
      <c r="AC30" s="7" t="s">
        <v>15</v>
      </c>
      <c r="AD30" s="708">
        <f>Y16</f>
        <v>0.19</v>
      </c>
      <c r="AE30" s="298">
        <f>IFERROR(Y16,0)</f>
        <v>0.19</v>
      </c>
      <c r="AI30" s="282">
        <v>13</v>
      </c>
      <c r="AJ30" s="43">
        <f>$AJ$15</f>
        <v>0</v>
      </c>
      <c r="AK30" s="43">
        <f t="shared" si="19"/>
        <v>0</v>
      </c>
      <c r="AL30" s="50">
        <f>Solarstrom!$M$39/12*3*AM29</f>
        <v>0</v>
      </c>
      <c r="AM30" s="49">
        <f t="shared" si="20"/>
        <v>0</v>
      </c>
      <c r="AN30" s="47"/>
      <c r="AO30" s="282"/>
      <c r="AP30" s="282"/>
      <c r="AR30" s="40">
        <v>17</v>
      </c>
      <c r="AS30" s="160">
        <v>68</v>
      </c>
      <c r="AV30" s="286"/>
      <c r="AW30" s="636"/>
      <c r="AX30" s="294">
        <f>Solarstrom!A97</f>
        <v>2031</v>
      </c>
      <c r="AY30" s="308">
        <f>IF(AX30=Solarstrom!$I$45,Tabelle1!$AX$15,0)</f>
        <v>0</v>
      </c>
      <c r="AZ30" s="636"/>
      <c r="BA30" s="308">
        <v>14</v>
      </c>
      <c r="BB30" s="285"/>
      <c r="BC30" s="317">
        <f>Solarstrom!$E$39</f>
        <v>0</v>
      </c>
      <c r="BD30" s="317">
        <f>IF(Tabelle1!AX30&gt;=Solarstrom!$I$45,Solarstrom!$I$35-Solarstrom!$E$39,0)*$AU$15</f>
        <v>0</v>
      </c>
      <c r="BE30" s="631">
        <f>BE29+($BE$16*Solarstrom!$I$21)</f>
        <v>0.28000000000000003</v>
      </c>
      <c r="BF30" s="295">
        <f t="shared" si="3"/>
        <v>0</v>
      </c>
      <c r="BG30" s="318">
        <f>Solarstrom!$I$55*(Solarstrom!$M$23/100)*$BI$15</f>
        <v>0</v>
      </c>
      <c r="BH30" s="318">
        <f>Solarstrom!$I$55*(Solarstrom!$M$23/100)*$BI$15</f>
        <v>0</v>
      </c>
      <c r="BI30" s="318">
        <f>Solarstrom!$I$55*(Solarstrom!$M$23/100)*$BI$15</f>
        <v>0</v>
      </c>
      <c r="BJ30" s="319">
        <f t="shared" si="4"/>
        <v>0</v>
      </c>
      <c r="BK30" s="646" t="str">
        <f t="shared" si="5"/>
        <v/>
      </c>
      <c r="BL30" s="293">
        <f t="shared" si="6"/>
        <v>0</v>
      </c>
      <c r="BM30" s="293">
        <f t="shared" si="7"/>
        <v>0</v>
      </c>
      <c r="BN30" s="293">
        <f t="shared" si="8"/>
        <v>0</v>
      </c>
      <c r="BO30" s="321">
        <f t="shared" si="9"/>
        <v>0</v>
      </c>
      <c r="BP30" s="321">
        <f t="shared" si="10"/>
        <v>0</v>
      </c>
      <c r="BQ30" s="653">
        <f t="shared" si="11"/>
        <v>0</v>
      </c>
      <c r="BR30" s="636" t="b">
        <f>IF(AND($BM$2&gt;0,Solarstrom!A97&lt;Solarstrom!$I$45),SUM(Tabelle1!$BK$12:$BL$12,0))</f>
        <v>0</v>
      </c>
      <c r="BS30" s="654">
        <f>Solarstrom!A98</f>
        <v>2032</v>
      </c>
      <c r="BT30" s="655">
        <f t="shared" si="12"/>
        <v>28</v>
      </c>
      <c r="BU30" s="655">
        <f t="shared" si="2"/>
        <v>10.02205152706825</v>
      </c>
      <c r="BV30" s="656">
        <f t="shared" si="13"/>
        <v>1120</v>
      </c>
      <c r="BW30" s="656">
        <f t="shared" si="14"/>
        <v>1120</v>
      </c>
      <c r="CA30" s="282">
        <f t="shared" si="17"/>
        <v>0.8825318600947718</v>
      </c>
      <c r="CB30" s="285">
        <f>CA30*Solarstrom!$E$57</f>
        <v>24012.809381318646</v>
      </c>
      <c r="CC30" s="282">
        <v>14</v>
      </c>
      <c r="CD30" s="45"/>
    </row>
    <row r="31" spans="1:82" ht="15" customHeight="1">
      <c r="A31" s="313">
        <f>Solarstrom!K96+Solarstrom!M96+Solarstrom!O96</f>
        <v>3288.4612606300002</v>
      </c>
      <c r="B31" s="313">
        <f t="shared" si="15"/>
        <v>3288.4612606300002</v>
      </c>
      <c r="F31" s="632">
        <v>2</v>
      </c>
      <c r="G31" s="631">
        <v>2010</v>
      </c>
      <c r="H31" s="635">
        <f>RIGHT(G31,2)*100+F31</f>
        <v>1002</v>
      </c>
      <c r="I31" s="658">
        <v>39.14</v>
      </c>
      <c r="J31" s="658">
        <v>37.229999999999997</v>
      </c>
      <c r="K31" s="658">
        <v>35.229999999999997</v>
      </c>
      <c r="L31" s="658">
        <v>29.37</v>
      </c>
      <c r="M31" s="658">
        <v>28.43</v>
      </c>
      <c r="N31" s="658"/>
      <c r="O31" s="658">
        <v>22.76</v>
      </c>
      <c r="W31" s="631">
        <v>3</v>
      </c>
      <c r="X31" s="631">
        <v>2014</v>
      </c>
      <c r="Y31" s="635">
        <f t="shared" si="16"/>
        <v>1403</v>
      </c>
      <c r="Z31" s="1">
        <v>30</v>
      </c>
      <c r="AA31" s="1"/>
      <c r="AC31" s="7"/>
      <c r="AD31" s="5"/>
      <c r="AE31" s="5"/>
      <c r="AI31" s="282">
        <v>14</v>
      </c>
      <c r="AJ31" s="43">
        <f t="shared" ref="AJ31:AJ37" si="21">$AJ$15</f>
        <v>0</v>
      </c>
      <c r="AK31" s="43">
        <f t="shared" si="19"/>
        <v>0</v>
      </c>
      <c r="AL31" s="50">
        <f>Solarstrom!$M$39/12*3*AM30</f>
        <v>0</v>
      </c>
      <c r="AM31" s="49">
        <f t="shared" si="20"/>
        <v>0</v>
      </c>
      <c r="AN31" s="47"/>
      <c r="AO31" s="282"/>
      <c r="AP31" s="282"/>
      <c r="AR31" s="40">
        <v>18</v>
      </c>
      <c r="AS31" s="160">
        <v>72</v>
      </c>
      <c r="AV31" s="286"/>
      <c r="AW31" s="636"/>
      <c r="AX31" s="294">
        <f>Solarstrom!A98</f>
        <v>2032</v>
      </c>
      <c r="AY31" s="308">
        <f>IF(AX31=Solarstrom!$I$45,Tabelle1!$AX$15,0)</f>
        <v>0</v>
      </c>
      <c r="AZ31" s="636"/>
      <c r="BA31" s="308">
        <v>15</v>
      </c>
      <c r="BB31" s="285"/>
      <c r="BC31" s="317">
        <f>Solarstrom!$E$39</f>
        <v>0</v>
      </c>
      <c r="BD31" s="317">
        <f>IF(Tabelle1!AX31&gt;=Solarstrom!$I$45,Solarstrom!$I$35-Solarstrom!$E$39,0)*$AU$15</f>
        <v>0</v>
      </c>
      <c r="BE31" s="631">
        <f>BE30+($BE$16*Solarstrom!$I$21)</f>
        <v>0.28000000000000003</v>
      </c>
      <c r="BF31" s="295">
        <f t="shared" si="3"/>
        <v>0</v>
      </c>
      <c r="BG31" s="318">
        <f>Solarstrom!$I$55*(Solarstrom!$M$23/100)*$BI$15</f>
        <v>0</v>
      </c>
      <c r="BH31" s="318">
        <f>Solarstrom!$I$55*(Solarstrom!$M$23/100)*$BI$15</f>
        <v>0</v>
      </c>
      <c r="BI31" s="318">
        <f>Solarstrom!$I$55*(Solarstrom!$M$23/100)*$BI$15</f>
        <v>0</v>
      </c>
      <c r="BJ31" s="319">
        <f t="shared" si="4"/>
        <v>0</v>
      </c>
      <c r="BK31" s="646" t="str">
        <f t="shared" si="5"/>
        <v/>
      </c>
      <c r="BL31" s="293">
        <f t="shared" si="6"/>
        <v>0</v>
      </c>
      <c r="BM31" s="293">
        <f t="shared" si="7"/>
        <v>0</v>
      </c>
      <c r="BN31" s="293">
        <f t="shared" si="8"/>
        <v>0</v>
      </c>
      <c r="BO31" s="321">
        <f t="shared" si="9"/>
        <v>0</v>
      </c>
      <c r="BP31" s="321">
        <f t="shared" si="10"/>
        <v>0</v>
      </c>
      <c r="BQ31" s="653">
        <f t="shared" ref="BQ31:BQ35" si="22">SUM(BK31:BP31)</f>
        <v>0</v>
      </c>
      <c r="BR31" s="636"/>
      <c r="BS31" s="654">
        <f>Solarstrom!A99</f>
        <v>2033</v>
      </c>
      <c r="BT31" s="655">
        <f t="shared" si="12"/>
        <v>28</v>
      </c>
      <c r="BU31" s="655">
        <f t="shared" si="2"/>
        <v>10.02205152706825</v>
      </c>
      <c r="BV31" s="656">
        <f t="shared" si="13"/>
        <v>1120</v>
      </c>
      <c r="BW31" s="656">
        <f t="shared" si="14"/>
        <v>1120</v>
      </c>
      <c r="CA31" s="282">
        <f t="shared" si="17"/>
        <v>0.87468965915462282</v>
      </c>
      <c r="CB31" s="285">
        <f>CA31*Solarstrom!$E$57</f>
        <v>23799.430935938133</v>
      </c>
      <c r="CC31" s="282">
        <v>15</v>
      </c>
      <c r="CD31" s="45"/>
    </row>
    <row r="32" spans="1:82" ht="15" customHeight="1">
      <c r="A32" s="313">
        <f>Solarstrom!K97+Solarstrom!M97+Solarstrom!O97</f>
        <v>3288.4612606300002</v>
      </c>
      <c r="B32" s="313">
        <f t="shared" si="15"/>
        <v>3288.4612606300002</v>
      </c>
      <c r="F32" s="632">
        <v>3</v>
      </c>
      <c r="G32" s="631">
        <v>2010</v>
      </c>
      <c r="H32" s="635">
        <f t="shared" si="18"/>
        <v>1003</v>
      </c>
      <c r="I32" s="658">
        <v>39.14</v>
      </c>
      <c r="J32" s="658">
        <v>37.229999999999997</v>
      </c>
      <c r="K32" s="658">
        <v>35.229999999999997</v>
      </c>
      <c r="L32" s="658">
        <v>29.37</v>
      </c>
      <c r="M32" s="658">
        <v>28.43</v>
      </c>
      <c r="N32" s="658"/>
      <c r="O32" s="658">
        <v>22.76</v>
      </c>
      <c r="W32" s="631">
        <v>4</v>
      </c>
      <c r="X32" s="631">
        <v>2014</v>
      </c>
      <c r="Y32" s="635">
        <f t="shared" si="16"/>
        <v>1404</v>
      </c>
      <c r="Z32" s="1">
        <v>30</v>
      </c>
      <c r="AA32" s="1"/>
      <c r="AC32" s="7" t="s">
        <v>16</v>
      </c>
      <c r="AD32" s="302">
        <f>AD28*AD30*AD20</f>
        <v>-1163.18</v>
      </c>
      <c r="AE32" s="302">
        <f>AE28*AE30*AE20</f>
        <v>-1163.18</v>
      </c>
      <c r="AI32" s="282">
        <v>15</v>
      </c>
      <c r="AJ32" s="43">
        <f t="shared" si="21"/>
        <v>0</v>
      </c>
      <c r="AK32" s="43">
        <f t="shared" si="19"/>
        <v>0</v>
      </c>
      <c r="AL32" s="50">
        <f>Solarstrom!$M$39/12*3*AM31</f>
        <v>0</v>
      </c>
      <c r="AM32" s="49">
        <f t="shared" si="20"/>
        <v>0</v>
      </c>
      <c r="AN32" s="47"/>
      <c r="AO32" s="282"/>
      <c r="AP32" s="282"/>
      <c r="AR32" s="40">
        <v>19</v>
      </c>
      <c r="AS32" s="160">
        <v>76</v>
      </c>
      <c r="AV32" s="636"/>
      <c r="AW32" s="636"/>
      <c r="AX32" s="294">
        <f>Solarstrom!A99</f>
        <v>2033</v>
      </c>
      <c r="AY32" s="308">
        <f>IF(AX32=Solarstrom!$I$45,Tabelle1!$AX$15,0)</f>
        <v>0</v>
      </c>
      <c r="AZ32" s="636"/>
      <c r="BA32" s="308">
        <v>16</v>
      </c>
      <c r="BB32" s="285"/>
      <c r="BC32" s="317">
        <f>Solarstrom!$E$39</f>
        <v>0</v>
      </c>
      <c r="BD32" s="317">
        <f>IF(Tabelle1!AX32&gt;=Solarstrom!$I$45,Solarstrom!$I$35-Solarstrom!$E$39,0)*$AU$15</f>
        <v>0</v>
      </c>
      <c r="BE32" s="631">
        <f>BE31+($BE$16*Solarstrom!$I$21)</f>
        <v>0.28000000000000003</v>
      </c>
      <c r="BF32" s="295">
        <f t="shared" si="3"/>
        <v>0</v>
      </c>
      <c r="BG32" s="318">
        <f>Solarstrom!$I$55*(Solarstrom!$M$23/100)*$BI$15</f>
        <v>0</v>
      </c>
      <c r="BH32" s="318">
        <f>Solarstrom!$I$55*(Solarstrom!$M$23/100)*$BI$15</f>
        <v>0</v>
      </c>
      <c r="BI32" s="318">
        <f>Solarstrom!$I$55*(Solarstrom!$M$23/100)*$BI$15</f>
        <v>0</v>
      </c>
      <c r="BJ32" s="319">
        <f t="shared" si="4"/>
        <v>0</v>
      </c>
      <c r="BK32" s="646" t="str">
        <f t="shared" si="5"/>
        <v/>
      </c>
      <c r="BL32" s="293">
        <f t="shared" si="6"/>
        <v>0</v>
      </c>
      <c r="BM32" s="293">
        <f t="shared" si="7"/>
        <v>0</v>
      </c>
      <c r="BN32" s="293">
        <f t="shared" si="8"/>
        <v>0</v>
      </c>
      <c r="BO32" s="321">
        <f t="shared" si="9"/>
        <v>0</v>
      </c>
      <c r="BP32" s="321">
        <f t="shared" si="10"/>
        <v>0</v>
      </c>
      <c r="BQ32" s="653">
        <f t="shared" si="22"/>
        <v>0</v>
      </c>
      <c r="BR32" s="636"/>
      <c r="BS32" s="654">
        <f>Solarstrom!A100</f>
        <v>2034</v>
      </c>
      <c r="BT32" s="655">
        <f t="shared" si="12"/>
        <v>28</v>
      </c>
      <c r="BU32" s="655">
        <f t="shared" si="2"/>
        <v>10.02205152706825</v>
      </c>
      <c r="BV32" s="656">
        <f t="shared" si="13"/>
        <v>1120</v>
      </c>
      <c r="BW32" s="656">
        <f t="shared" si="14"/>
        <v>1120</v>
      </c>
      <c r="CA32" s="282">
        <f t="shared" si="17"/>
        <v>0.86691714421490795</v>
      </c>
      <c r="CB32" s="285">
        <f>CA32*Solarstrom!$E$57</f>
        <v>23587.948576943432</v>
      </c>
      <c r="CC32" s="282">
        <v>16</v>
      </c>
      <c r="CD32" s="45"/>
    </row>
    <row r="33" spans="1:82" ht="15" customHeight="1">
      <c r="A33" s="313">
        <f>Solarstrom!K98+Solarstrom!M98+Solarstrom!O98</f>
        <v>3288.4612606300002</v>
      </c>
      <c r="B33" s="313">
        <f t="shared" si="15"/>
        <v>3288.4612606300002</v>
      </c>
      <c r="F33" s="632">
        <v>4</v>
      </c>
      <c r="G33" s="631">
        <v>2010</v>
      </c>
      <c r="H33" s="635">
        <f t="shared" si="18"/>
        <v>1004</v>
      </c>
      <c r="I33" s="658">
        <v>39.14</v>
      </c>
      <c r="J33" s="658">
        <v>37.229999999999997</v>
      </c>
      <c r="K33" s="658">
        <v>35.229999999999997</v>
      </c>
      <c r="L33" s="658">
        <v>29.37</v>
      </c>
      <c r="M33" s="658">
        <v>28.43</v>
      </c>
      <c r="N33" s="658"/>
      <c r="O33" s="658">
        <v>22.76</v>
      </c>
      <c r="W33" s="631">
        <v>5</v>
      </c>
      <c r="X33" s="631">
        <v>2014</v>
      </c>
      <c r="Y33" s="635">
        <f t="shared" si="16"/>
        <v>1405</v>
      </c>
      <c r="Z33" s="1">
        <v>30</v>
      </c>
      <c r="AA33" s="1"/>
      <c r="AC33" s="7"/>
      <c r="AD33" s="302"/>
      <c r="AE33" s="302"/>
      <c r="AI33" s="282">
        <v>16</v>
      </c>
      <c r="AJ33" s="43">
        <f t="shared" si="21"/>
        <v>0</v>
      </c>
      <c r="AK33" s="43">
        <f t="shared" si="19"/>
        <v>0</v>
      </c>
      <c r="AL33" s="50">
        <f>Solarstrom!$M$39/12*3*AM32</f>
        <v>0</v>
      </c>
      <c r="AM33" s="49">
        <f t="shared" si="20"/>
        <v>0</v>
      </c>
      <c r="AN33" s="47">
        <f>SUM(AJ30:AJ33)</f>
        <v>0</v>
      </c>
      <c r="AO33" s="43">
        <f>SUM(AK30:AK33)</f>
        <v>0</v>
      </c>
      <c r="AP33" s="43">
        <f>SUM(AL30:AL33)</f>
        <v>0</v>
      </c>
      <c r="AR33" s="40">
        <v>20</v>
      </c>
      <c r="AS33" s="160">
        <v>80</v>
      </c>
      <c r="AV33" s="636"/>
      <c r="AW33" s="636"/>
      <c r="AX33" s="294">
        <f>Solarstrom!A100</f>
        <v>2034</v>
      </c>
      <c r="AY33" s="308">
        <f>IF(AX33=Solarstrom!$I$45,Tabelle1!$AX$15,0)</f>
        <v>0</v>
      </c>
      <c r="AZ33" s="636"/>
      <c r="BA33" s="308">
        <v>17</v>
      </c>
      <c r="BB33" s="285"/>
      <c r="BC33" s="317">
        <f>Solarstrom!$E$39</f>
        <v>0</v>
      </c>
      <c r="BD33" s="317">
        <f>IF(Tabelle1!AX33&gt;=Solarstrom!$I$45,Solarstrom!$I$35-Solarstrom!$E$39,0)*$AU$15</f>
        <v>0</v>
      </c>
      <c r="BE33" s="631">
        <f>BE32+($BE$16*Solarstrom!$I$21)</f>
        <v>0.28000000000000003</v>
      </c>
      <c r="BF33" s="295">
        <f t="shared" si="3"/>
        <v>0</v>
      </c>
      <c r="BG33" s="318">
        <f>Solarstrom!$I$55*(Solarstrom!$M$23/100)*$BI$15</f>
        <v>0</v>
      </c>
      <c r="BH33" s="318">
        <f>Solarstrom!$I$55*(Solarstrom!$M$23/100)*$BI$15</f>
        <v>0</v>
      </c>
      <c r="BI33" s="318">
        <f>Solarstrom!$I$55*(Solarstrom!$M$23/100)*$BI$15</f>
        <v>0</v>
      </c>
      <c r="BJ33" s="319">
        <f t="shared" si="4"/>
        <v>0</v>
      </c>
      <c r="BK33" s="646" t="str">
        <f t="shared" si="5"/>
        <v/>
      </c>
      <c r="BL33" s="293">
        <f t="shared" si="6"/>
        <v>0</v>
      </c>
      <c r="BM33" s="293">
        <f t="shared" si="7"/>
        <v>0</v>
      </c>
      <c r="BN33" s="293">
        <f t="shared" si="8"/>
        <v>0</v>
      </c>
      <c r="BO33" s="321">
        <f t="shared" si="9"/>
        <v>0</v>
      </c>
      <c r="BP33" s="321">
        <f t="shared" si="10"/>
        <v>0</v>
      </c>
      <c r="BQ33" s="653">
        <f t="shared" si="22"/>
        <v>0</v>
      </c>
      <c r="BR33" s="636"/>
      <c r="BS33" s="654">
        <f>Solarstrom!A101</f>
        <v>2035</v>
      </c>
      <c r="BT33" s="655">
        <f t="shared" si="12"/>
        <v>28</v>
      </c>
      <c r="BU33" s="655">
        <f t="shared" si="2"/>
        <v>10.02205152706825</v>
      </c>
      <c r="BV33" s="656">
        <f t="shared" si="13"/>
        <v>1120</v>
      </c>
      <c r="BW33" s="656">
        <f t="shared" si="14"/>
        <v>1120</v>
      </c>
      <c r="CA33" s="282">
        <f t="shared" si="17"/>
        <v>0.85921369604402453</v>
      </c>
      <c r="CB33" s="285">
        <f>CA33*Solarstrom!$E$57</f>
        <v>23378.345455661864</v>
      </c>
      <c r="CC33" s="282">
        <v>17</v>
      </c>
      <c r="CD33" s="45"/>
    </row>
    <row r="34" spans="1:82" ht="15" customHeight="1">
      <c r="A34" s="313">
        <f>Solarstrom!K99+Solarstrom!M99+Solarstrom!O99</f>
        <v>3288.4612606300002</v>
      </c>
      <c r="B34" s="313">
        <f t="shared" si="15"/>
        <v>3288.4612606300002</v>
      </c>
      <c r="F34" s="632">
        <v>5</v>
      </c>
      <c r="G34" s="631">
        <v>2010</v>
      </c>
      <c r="H34" s="635">
        <f t="shared" si="18"/>
        <v>1005</v>
      </c>
      <c r="I34" s="658">
        <v>39.14</v>
      </c>
      <c r="J34" s="658">
        <v>37.229999999999997</v>
      </c>
      <c r="K34" s="658">
        <v>35.229999999999997</v>
      </c>
      <c r="L34" s="658">
        <v>29.37</v>
      </c>
      <c r="M34" s="658">
        <v>28.43</v>
      </c>
      <c r="N34" s="658"/>
      <c r="O34" s="658">
        <v>22.76</v>
      </c>
      <c r="W34" s="631">
        <v>6</v>
      </c>
      <c r="X34" s="631">
        <v>2014</v>
      </c>
      <c r="Y34" s="635">
        <f t="shared" si="16"/>
        <v>1406</v>
      </c>
      <c r="Z34" s="1">
        <v>30</v>
      </c>
      <c r="AA34" s="1"/>
      <c r="AC34" s="7"/>
      <c r="AD34" s="1">
        <f>IF(AD20&gt;AD18,0,1)</f>
        <v>1</v>
      </c>
      <c r="AE34" s="1">
        <f>IF(AE20&gt;AE18,0,1)</f>
        <v>1</v>
      </c>
      <c r="AI34" s="282">
        <v>17</v>
      </c>
      <c r="AJ34" s="43">
        <f t="shared" si="21"/>
        <v>0</v>
      </c>
      <c r="AK34" s="43">
        <f t="shared" si="19"/>
        <v>0</v>
      </c>
      <c r="AL34" s="50">
        <f>Solarstrom!$M$39/12*3*AM33</f>
        <v>0</v>
      </c>
      <c r="AM34" s="49">
        <f t="shared" si="20"/>
        <v>0</v>
      </c>
      <c r="AN34" s="47"/>
      <c r="AO34" s="282"/>
      <c r="AP34" s="282"/>
      <c r="AQ34" s="282"/>
      <c r="AR34" s="159"/>
      <c r="AV34" s="636"/>
      <c r="AW34" s="636"/>
      <c r="AX34" s="294">
        <f>Solarstrom!A101</f>
        <v>2035</v>
      </c>
      <c r="AY34" s="308">
        <f>IF(AX34=Solarstrom!$I$45,Tabelle1!$AX$15,0)</f>
        <v>0</v>
      </c>
      <c r="AZ34" s="636"/>
      <c r="BA34" s="308">
        <v>18</v>
      </c>
      <c r="BB34" s="285"/>
      <c r="BC34" s="317">
        <f>Solarstrom!$E$39</f>
        <v>0</v>
      </c>
      <c r="BD34" s="317">
        <f>IF(Tabelle1!AX34&gt;=Solarstrom!$I$45,Solarstrom!$I$35-Solarstrom!$E$39,0)*$AU$15</f>
        <v>0</v>
      </c>
      <c r="BE34" s="631">
        <f>BE33+($BE$16*Solarstrom!$I$21)</f>
        <v>0.28000000000000003</v>
      </c>
      <c r="BF34" s="295">
        <f t="shared" si="3"/>
        <v>0</v>
      </c>
      <c r="BG34" s="318">
        <f>Solarstrom!$I$55*(Solarstrom!$M$23/100)*$BI$15</f>
        <v>0</v>
      </c>
      <c r="BH34" s="318">
        <f>Solarstrom!$I$55*(Solarstrom!$M$23/100)*$BI$15</f>
        <v>0</v>
      </c>
      <c r="BI34" s="318">
        <f>Solarstrom!$I$55*(Solarstrom!$M$23/100)*$BI$15</f>
        <v>0</v>
      </c>
      <c r="BJ34" s="319">
        <f t="shared" si="4"/>
        <v>0</v>
      </c>
      <c r="BK34" s="646" t="str">
        <f t="shared" si="5"/>
        <v/>
      </c>
      <c r="BL34" s="293">
        <f t="shared" si="6"/>
        <v>0</v>
      </c>
      <c r="BM34" s="293">
        <f t="shared" si="7"/>
        <v>0</v>
      </c>
      <c r="BN34" s="293">
        <f t="shared" si="8"/>
        <v>0</v>
      </c>
      <c r="BO34" s="321">
        <f t="shared" si="9"/>
        <v>0</v>
      </c>
      <c r="BP34" s="321">
        <f t="shared" si="10"/>
        <v>0</v>
      </c>
      <c r="BQ34" s="653">
        <f t="shared" si="22"/>
        <v>0</v>
      </c>
      <c r="BR34" s="636"/>
      <c r="BS34" s="654">
        <f>Solarstrom!A102</f>
        <v>2036</v>
      </c>
      <c r="BT34" s="655">
        <f t="shared" si="12"/>
        <v>28</v>
      </c>
      <c r="BU34" s="655">
        <f t="shared" si="2"/>
        <v>10.02205152706825</v>
      </c>
      <c r="BV34" s="656">
        <f t="shared" si="13"/>
        <v>1120</v>
      </c>
      <c r="BW34" s="656">
        <f t="shared" si="14"/>
        <v>1120</v>
      </c>
      <c r="CA34" s="282">
        <f t="shared" si="17"/>
        <v>0.85157870091287802</v>
      </c>
      <c r="CB34" s="285">
        <f>CA34*Solarstrom!$E$57</f>
        <v>23170.604873138498</v>
      </c>
      <c r="CC34" s="282">
        <v>18</v>
      </c>
      <c r="CD34" s="45"/>
    </row>
    <row r="35" spans="1:82" ht="15" customHeight="1">
      <c r="A35" s="313">
        <f>Solarstrom!K100+Solarstrom!M100+Solarstrom!O100</f>
        <v>3288.4612606300002</v>
      </c>
      <c r="B35" s="313">
        <f t="shared" si="15"/>
        <v>3288.4612606300002</v>
      </c>
      <c r="F35" s="632">
        <v>6</v>
      </c>
      <c r="G35" s="631">
        <v>2010</v>
      </c>
      <c r="H35" s="635">
        <f t="shared" si="18"/>
        <v>1006</v>
      </c>
      <c r="I35" s="658">
        <v>39.14</v>
      </c>
      <c r="J35" s="658">
        <v>37.229999999999997</v>
      </c>
      <c r="K35" s="658">
        <v>35.229999999999997</v>
      </c>
      <c r="L35" s="658">
        <v>29.37</v>
      </c>
      <c r="M35" s="658">
        <v>28.43</v>
      </c>
      <c r="N35" s="658"/>
      <c r="O35" s="658">
        <v>22.76</v>
      </c>
      <c r="W35" s="631">
        <v>7</v>
      </c>
      <c r="X35" s="631">
        <v>2014</v>
      </c>
      <c r="Y35" s="635">
        <f t="shared" si="16"/>
        <v>1407</v>
      </c>
      <c r="Z35" s="1">
        <v>30</v>
      </c>
      <c r="AA35" s="1"/>
      <c r="AC35" s="7"/>
      <c r="AD35" s="1"/>
      <c r="AE35" s="1"/>
      <c r="AI35" s="282">
        <v>18</v>
      </c>
      <c r="AJ35" s="43">
        <f t="shared" si="21"/>
        <v>0</v>
      </c>
      <c r="AK35" s="43">
        <f t="shared" si="19"/>
        <v>0</v>
      </c>
      <c r="AL35" s="50">
        <f>Solarstrom!$M$39/12*3*AM34</f>
        <v>0</v>
      </c>
      <c r="AM35" s="49">
        <f t="shared" si="20"/>
        <v>0</v>
      </c>
      <c r="AN35" s="47"/>
      <c r="AO35" s="282"/>
      <c r="AP35" s="282"/>
      <c r="AQ35" s="282"/>
      <c r="AR35" s="282"/>
      <c r="AV35" s="636"/>
      <c r="AW35" s="636"/>
      <c r="AX35" s="294">
        <f>Solarstrom!A102</f>
        <v>2036</v>
      </c>
      <c r="AY35" s="308">
        <f>IF(AX35=Solarstrom!$I$45,Tabelle1!$AX$15,0)</f>
        <v>0</v>
      </c>
      <c r="AZ35" s="636"/>
      <c r="BA35" s="308">
        <v>19</v>
      </c>
      <c r="BB35" s="285"/>
      <c r="BC35" s="317">
        <f>Solarstrom!$E$39</f>
        <v>0</v>
      </c>
      <c r="BD35" s="317">
        <f>IF(Tabelle1!AX35&gt;=Solarstrom!$I$45,Solarstrom!$I$35-Solarstrom!$E$39,0)*$AU$15</f>
        <v>0</v>
      </c>
      <c r="BE35" s="631">
        <f>BE34+($BE$16*Solarstrom!$I$21)</f>
        <v>0.28000000000000003</v>
      </c>
      <c r="BF35" s="295">
        <f t="shared" si="3"/>
        <v>0</v>
      </c>
      <c r="BG35" s="318">
        <f>Solarstrom!$I$55*(Solarstrom!$M$23/100)*$BI$15</f>
        <v>0</v>
      </c>
      <c r="BH35" s="318">
        <f>Solarstrom!$I$55*(Solarstrom!$M$23/100)*$BI$15</f>
        <v>0</v>
      </c>
      <c r="BI35" s="318">
        <f>Solarstrom!$I$55*(Solarstrom!$M$23/100)*$BI$15</f>
        <v>0</v>
      </c>
      <c r="BJ35" s="319">
        <f t="shared" si="4"/>
        <v>0</v>
      </c>
      <c r="BK35" s="646" t="str">
        <f t="shared" si="5"/>
        <v/>
      </c>
      <c r="BL35" s="293">
        <f t="shared" si="6"/>
        <v>0</v>
      </c>
      <c r="BM35" s="293">
        <f t="shared" si="7"/>
        <v>0</v>
      </c>
      <c r="BN35" s="293">
        <f t="shared" si="8"/>
        <v>0</v>
      </c>
      <c r="BO35" s="321">
        <f t="shared" si="9"/>
        <v>0</v>
      </c>
      <c r="BP35" s="321">
        <f t="shared" si="10"/>
        <v>0</v>
      </c>
      <c r="BQ35" s="653">
        <f t="shared" si="22"/>
        <v>0</v>
      </c>
      <c r="BS35" s="654">
        <f>Solarstrom!A103</f>
        <v>2037</v>
      </c>
      <c r="BT35" s="655">
        <f t="shared" si="12"/>
        <v>28</v>
      </c>
      <c r="BU35" s="655">
        <f t="shared" si="2"/>
        <v>10.02205152706825</v>
      </c>
      <c r="BV35" s="656">
        <f t="shared" si="13"/>
        <v>1120</v>
      </c>
      <c r="BW35" s="656">
        <f t="shared" si="14"/>
        <v>1120</v>
      </c>
      <c r="CA35" s="282">
        <f t="shared" si="17"/>
        <v>0.84401155054598631</v>
      </c>
      <c r="CB35" s="285">
        <f>CA35*Solarstrom!$E$57</f>
        <v>22964.710278805742</v>
      </c>
      <c r="CC35" s="282">
        <v>19</v>
      </c>
      <c r="CD35" s="45"/>
    </row>
    <row r="36" spans="1:82" ht="15" customHeight="1">
      <c r="A36" s="313">
        <f>Solarstrom!K101+Solarstrom!M101+Solarstrom!O101</f>
        <v>3288.4612606300002</v>
      </c>
      <c r="B36" s="313">
        <f t="shared" si="15"/>
        <v>3288.4612606300002</v>
      </c>
      <c r="F36" s="632">
        <v>7</v>
      </c>
      <c r="G36" s="631">
        <v>2010</v>
      </c>
      <c r="H36" s="635">
        <f t="shared" si="18"/>
        <v>1007</v>
      </c>
      <c r="I36" s="658">
        <v>34.049999999999997</v>
      </c>
      <c r="J36" s="658">
        <v>32.39</v>
      </c>
      <c r="K36" s="658">
        <v>30.65</v>
      </c>
      <c r="L36" s="658">
        <v>25.55</v>
      </c>
      <c r="M36" s="658">
        <v>26.15</v>
      </c>
      <c r="N36" s="658">
        <v>25.02</v>
      </c>
      <c r="O36" s="658">
        <v>17.670000000000002</v>
      </c>
      <c r="P36" s="658">
        <v>22.05</v>
      </c>
      <c r="Q36" s="658">
        <v>16.010000000000002</v>
      </c>
      <c r="R36" s="658">
        <v>20.39</v>
      </c>
      <c r="S36" s="658">
        <v>14.27</v>
      </c>
      <c r="T36" s="658">
        <v>18.649999999999999</v>
      </c>
      <c r="W36" s="631">
        <v>8</v>
      </c>
      <c r="X36" s="631">
        <v>2014</v>
      </c>
      <c r="Y36" s="635">
        <f t="shared" si="16"/>
        <v>1408</v>
      </c>
      <c r="Z36" s="1">
        <v>30</v>
      </c>
      <c r="AA36" s="1"/>
      <c r="AC36" s="303" t="s">
        <v>17</v>
      </c>
      <c r="AD36" s="304">
        <f>IF(AD20="über 30 kWp",0,(AD34*AD32*AD22)+(AE34*AE32*AE22))</f>
        <v>0</v>
      </c>
      <c r="AE36" s="305"/>
      <c r="AI36" s="282">
        <v>19</v>
      </c>
      <c r="AJ36" s="43">
        <f t="shared" si="21"/>
        <v>0</v>
      </c>
      <c r="AK36" s="43">
        <f t="shared" si="19"/>
        <v>0</v>
      </c>
      <c r="AL36" s="50">
        <f>Solarstrom!$M$39/12*3*AM35</f>
        <v>0</v>
      </c>
      <c r="AM36" s="49">
        <f t="shared" si="20"/>
        <v>0</v>
      </c>
      <c r="AN36" s="47"/>
      <c r="AO36" s="282"/>
      <c r="AP36" s="282"/>
      <c r="AQ36" s="282"/>
      <c r="AR36" s="282"/>
      <c r="AV36" s="636"/>
      <c r="AW36" s="636"/>
      <c r="AX36" s="294">
        <f>Solarstrom!A103</f>
        <v>2037</v>
      </c>
      <c r="AY36" s="308">
        <f>IF(AX36=Solarstrom!$I$45,Tabelle1!$AX$15,0)</f>
        <v>0</v>
      </c>
      <c r="AZ36" s="636"/>
      <c r="BA36" s="308">
        <v>20</v>
      </c>
      <c r="BB36" s="285"/>
      <c r="BC36" s="317">
        <f>Solarstrom!$E$39</f>
        <v>0</v>
      </c>
      <c r="BD36" s="317">
        <f>IF(Tabelle1!AX36&gt;=Solarstrom!$I$45,Solarstrom!$I$35-Solarstrom!$E$39,0)*$AU$15</f>
        <v>0</v>
      </c>
      <c r="BE36" s="631">
        <f>BE35+($BE$16*Solarstrom!$I$21)</f>
        <v>0.28000000000000003</v>
      </c>
      <c r="BF36" s="295">
        <f t="shared" si="3"/>
        <v>0</v>
      </c>
      <c r="BG36" s="636"/>
      <c r="BH36" s="636"/>
      <c r="BI36" s="636"/>
      <c r="BJ36" s="314">
        <f>IF(B10=1,Solarstrom!I55*Solarstrom!M23/100*20,SUM(BJ16:BJ35))</f>
        <v>0</v>
      </c>
      <c r="BK36" s="646" t="str">
        <f t="shared" si="5"/>
        <v/>
      </c>
      <c r="BL36" s="293">
        <f t="shared" si="6"/>
        <v>0</v>
      </c>
      <c r="BM36" s="293">
        <f t="shared" si="7"/>
        <v>0</v>
      </c>
      <c r="BN36" s="293">
        <f t="shared" si="8"/>
        <v>0</v>
      </c>
      <c r="BO36" s="321">
        <f t="shared" si="9"/>
        <v>0</v>
      </c>
      <c r="BP36" s="321">
        <f t="shared" si="10"/>
        <v>0</v>
      </c>
      <c r="BQ36" s="653">
        <f>SUM(BK36:BP36)</f>
        <v>0</v>
      </c>
      <c r="CA36" s="282">
        <f t="shared" si="17"/>
        <v>0.83651164207301909</v>
      </c>
      <c r="CB36" s="285">
        <f>CA36*Solarstrom!$E$57</f>
        <v>22760.645269164776</v>
      </c>
      <c r="CC36" s="282">
        <v>20</v>
      </c>
      <c r="CD36" s="45"/>
    </row>
    <row r="37" spans="1:82" ht="15" customHeight="1">
      <c r="A37" s="313">
        <f>Solarstrom!K102+Solarstrom!M102+Solarstrom!O102</f>
        <v>3288.4612606300002</v>
      </c>
      <c r="B37" s="313">
        <f t="shared" si="15"/>
        <v>3288.4612606300002</v>
      </c>
      <c r="F37" s="632">
        <v>8</v>
      </c>
      <c r="G37" s="631">
        <v>2010</v>
      </c>
      <c r="H37" s="635">
        <f t="shared" si="18"/>
        <v>1008</v>
      </c>
      <c r="I37" s="658">
        <v>34.049999999999997</v>
      </c>
      <c r="J37" s="658">
        <v>32.39</v>
      </c>
      <c r="K37" s="658">
        <v>30.65</v>
      </c>
      <c r="L37" s="658">
        <v>25.55</v>
      </c>
      <c r="M37" s="658">
        <v>26.15</v>
      </c>
      <c r="N37" s="658">
        <v>25.02</v>
      </c>
      <c r="O37" s="658">
        <v>17.670000000000002</v>
      </c>
      <c r="P37" s="658">
        <v>22.05</v>
      </c>
      <c r="Q37" s="658">
        <v>16.010000000000002</v>
      </c>
      <c r="R37" s="658">
        <v>20.39</v>
      </c>
      <c r="S37" s="658">
        <v>14.27</v>
      </c>
      <c r="T37" s="658">
        <v>18.649999999999999</v>
      </c>
      <c r="W37" s="631">
        <v>9</v>
      </c>
      <c r="X37" s="631">
        <v>2014</v>
      </c>
      <c r="Y37" s="635">
        <f t="shared" si="16"/>
        <v>1409</v>
      </c>
      <c r="Z37" s="1">
        <v>30</v>
      </c>
      <c r="AA37" s="1"/>
      <c r="AB37" s="659"/>
      <c r="AI37" s="282">
        <v>20</v>
      </c>
      <c r="AJ37" s="43">
        <f t="shared" si="21"/>
        <v>0</v>
      </c>
      <c r="AK37" s="43">
        <f t="shared" si="19"/>
        <v>0</v>
      </c>
      <c r="AL37" s="50">
        <f>Solarstrom!$M$39/12*3*AM36</f>
        <v>0</v>
      </c>
      <c r="AM37" s="49">
        <f t="shared" si="20"/>
        <v>0</v>
      </c>
      <c r="AN37" s="47">
        <f>SUM(AJ34:AJ37)</f>
        <v>0</v>
      </c>
      <c r="AO37" s="43">
        <f>SUM(AK34:AK37)</f>
        <v>0</v>
      </c>
      <c r="AP37" s="43">
        <f>SUM(AL34:AL37)</f>
        <v>0</v>
      </c>
      <c r="AQ37" s="282"/>
      <c r="AR37" s="282"/>
      <c r="AV37" s="636"/>
      <c r="AW37" s="636"/>
      <c r="AX37" s="294">
        <f>Solarstrom!A104</f>
        <v>2038</v>
      </c>
      <c r="AY37" s="308">
        <f>IF(AX37=Solarstrom!$I$45,Tabelle1!$AX$15,0)</f>
        <v>0</v>
      </c>
      <c r="AZ37" s="636"/>
      <c r="BA37" s="308">
        <v>21</v>
      </c>
      <c r="BB37" s="285"/>
      <c r="BC37" s="317">
        <f>Solarstrom!$E$39</f>
        <v>0</v>
      </c>
      <c r="BD37" s="317">
        <f>IF(Tabelle1!AX37&gt;=Solarstrom!$I$45,Solarstrom!$I$35-Solarstrom!$E$39,0)*$AU$15</f>
        <v>0</v>
      </c>
      <c r="BE37" s="631">
        <f>BE36+($BE$16*Solarstrom!$I$21)</f>
        <v>0.28000000000000003</v>
      </c>
      <c r="BF37" s="295">
        <f t="shared" si="3"/>
        <v>0</v>
      </c>
      <c r="BG37" s="636"/>
      <c r="BH37" s="636"/>
      <c r="BI37" s="636"/>
      <c r="BJ37" s="636"/>
      <c r="BK37" s="636"/>
      <c r="BL37" s="636"/>
      <c r="BM37" s="636"/>
      <c r="BN37" s="636"/>
      <c r="BO37" s="636"/>
      <c r="CA37" s="282"/>
      <c r="CB37" s="285">
        <f>SUM(CB17:CB36)</f>
        <v>496152.79090760148</v>
      </c>
      <c r="CC37" s="282" t="s">
        <v>67</v>
      </c>
      <c r="CD37" s="45"/>
    </row>
    <row r="38" spans="1:82" ht="15" customHeight="1">
      <c r="A38" s="313">
        <f>Solarstrom!K103+Solarstrom!M103+Solarstrom!O103</f>
        <v>3288.4612606300002</v>
      </c>
      <c r="B38" s="313">
        <f t="shared" si="15"/>
        <v>3288.4612606300002</v>
      </c>
      <c r="F38" s="632">
        <v>9</v>
      </c>
      <c r="G38" s="631">
        <v>2010</v>
      </c>
      <c r="H38" s="635">
        <f t="shared" si="18"/>
        <v>1009</v>
      </c>
      <c r="I38" s="658">
        <v>34.049999999999997</v>
      </c>
      <c r="J38" s="658">
        <v>32.39</v>
      </c>
      <c r="K38" s="658">
        <v>30.65</v>
      </c>
      <c r="L38" s="658">
        <v>25.55</v>
      </c>
      <c r="M38" s="658">
        <v>26.15</v>
      </c>
      <c r="N38" s="658">
        <v>25.02</v>
      </c>
      <c r="O38" s="658">
        <v>17.670000000000002</v>
      </c>
      <c r="P38" s="658">
        <v>22.05</v>
      </c>
      <c r="Q38" s="658">
        <v>16.010000000000002</v>
      </c>
      <c r="R38" s="658">
        <v>20.39</v>
      </c>
      <c r="S38" s="658">
        <v>14.27</v>
      </c>
      <c r="T38" s="658">
        <v>18.649999999999999</v>
      </c>
      <c r="W38" s="631">
        <v>10</v>
      </c>
      <c r="X38" s="631">
        <v>2014</v>
      </c>
      <c r="Y38" s="635">
        <f t="shared" si="16"/>
        <v>1410</v>
      </c>
      <c r="Z38" s="1">
        <v>30</v>
      </c>
      <c r="AA38" s="1"/>
      <c r="AI38" s="282">
        <v>21</v>
      </c>
      <c r="AJ38" s="43">
        <f>IF(AM37&lt;=0.000001,0,$AJ$15)</f>
        <v>0</v>
      </c>
      <c r="AK38" s="43">
        <f>AJ38-AL38</f>
        <v>0</v>
      </c>
      <c r="AL38" s="50">
        <f>Solarstrom!$M$39/12*3*AM37</f>
        <v>0</v>
      </c>
      <c r="AM38" s="49">
        <f>IF(AM37&lt;=0.0001,0,AM37-AK38)</f>
        <v>0</v>
      </c>
      <c r="AN38" s="47"/>
      <c r="AO38" s="282"/>
      <c r="AP38" s="282"/>
      <c r="AQ38" s="282"/>
      <c r="AR38" s="282"/>
      <c r="AV38" s="636"/>
      <c r="AW38" s="636"/>
      <c r="AX38" s="294">
        <f>Solarstrom!A105</f>
        <v>2039</v>
      </c>
      <c r="AY38" s="308">
        <f>IF(AX38=Solarstrom!$I$45,Tabelle1!$AX$15,0)</f>
        <v>0</v>
      </c>
      <c r="AZ38" s="636"/>
      <c r="BA38" s="308">
        <v>22</v>
      </c>
      <c r="BB38" s="285"/>
      <c r="BC38" s="317">
        <f>Solarstrom!$E$39</f>
        <v>0</v>
      </c>
      <c r="BD38" s="317">
        <f>IF(Tabelle1!AX38&gt;=Solarstrom!$I$45,Solarstrom!$I$35-Solarstrom!$E$39,0)*$AU$15</f>
        <v>0</v>
      </c>
      <c r="BE38" s="631">
        <f>BE37+($BE$16*Solarstrom!$I$21)</f>
        <v>0.28000000000000003</v>
      </c>
      <c r="BF38" s="295">
        <f t="shared" si="3"/>
        <v>0</v>
      </c>
      <c r="BG38" s="636"/>
      <c r="BH38" s="636"/>
      <c r="BI38" s="636"/>
      <c r="BJ38" s="636"/>
      <c r="BK38" s="636"/>
      <c r="BL38" s="636"/>
      <c r="BM38" s="636"/>
      <c r="BN38" s="636"/>
      <c r="BO38" s="636"/>
      <c r="CA38" s="282">
        <f>CA36*POWER($CB$14,1/$CA$14)</f>
        <v>0.82907837798076744</v>
      </c>
      <c r="CB38" s="285">
        <f>CA38*Solarstrom!$E$57</f>
        <v>22558.393586478702</v>
      </c>
      <c r="CC38" s="282">
        <v>21</v>
      </c>
      <c r="CD38" s="45"/>
    </row>
    <row r="39" spans="1:82" ht="15" customHeight="1">
      <c r="A39" s="313">
        <f>Solarstrom!K104+Solarstrom!M104+Solarstrom!O104</f>
        <v>816.27</v>
      </c>
      <c r="B39" s="313">
        <f t="shared" si="15"/>
        <v>816.27</v>
      </c>
      <c r="F39" s="632">
        <v>10</v>
      </c>
      <c r="G39" s="631">
        <v>2010</v>
      </c>
      <c r="H39" s="635">
        <f t="shared" si="18"/>
        <v>1010</v>
      </c>
      <c r="I39" s="658">
        <v>33.03</v>
      </c>
      <c r="J39" s="658">
        <v>31.42</v>
      </c>
      <c r="K39" s="658">
        <v>29.73</v>
      </c>
      <c r="L39" s="658">
        <v>24.79</v>
      </c>
      <c r="M39" s="658">
        <v>25.37</v>
      </c>
      <c r="N39" s="658">
        <v>24.26</v>
      </c>
      <c r="O39" s="658">
        <v>16.649999999999999</v>
      </c>
      <c r="P39" s="658">
        <v>21.03</v>
      </c>
      <c r="Q39" s="658">
        <v>15.04</v>
      </c>
      <c r="R39" s="658">
        <v>19.420000000000002</v>
      </c>
      <c r="S39" s="658">
        <v>13.35</v>
      </c>
      <c r="T39" s="658">
        <v>17.73</v>
      </c>
      <c r="W39" s="631">
        <v>11</v>
      </c>
      <c r="X39" s="631">
        <v>2014</v>
      </c>
      <c r="Y39" s="635">
        <f t="shared" si="16"/>
        <v>1411</v>
      </c>
      <c r="Z39" s="1">
        <v>30</v>
      </c>
      <c r="AA39" s="1"/>
      <c r="AI39" s="282">
        <v>22</v>
      </c>
      <c r="AJ39" s="43">
        <f t="shared" ref="AJ39:AJ61" si="23">IF(AM38&lt;=0.000001,0,$AJ$15)</f>
        <v>0</v>
      </c>
      <c r="AK39" s="43">
        <f>AJ39-AL39</f>
        <v>0</v>
      </c>
      <c r="AL39" s="50">
        <f>Solarstrom!$M$39/12*3*AM38</f>
        <v>0</v>
      </c>
      <c r="AM39" s="49">
        <f t="shared" ref="AM39:AM102" si="24">IF(AM38&lt;=0.0001,0,AM38-AK39)</f>
        <v>0</v>
      </c>
      <c r="AN39" s="47"/>
      <c r="AO39" s="282"/>
      <c r="AP39" s="282"/>
      <c r="AQ39" s="282"/>
      <c r="AR39" s="282"/>
      <c r="AV39" s="636"/>
      <c r="AW39" s="636"/>
      <c r="AX39" s="294">
        <f>Solarstrom!A106</f>
        <v>2040</v>
      </c>
      <c r="AY39" s="308">
        <f>IF(AX39=Solarstrom!$I$45,Tabelle1!$AX$15,0)</f>
        <v>0</v>
      </c>
      <c r="AZ39" s="636"/>
      <c r="BA39" s="308">
        <v>23</v>
      </c>
      <c r="BB39" s="285"/>
      <c r="BC39" s="317">
        <f>Solarstrom!$E$39</f>
        <v>0</v>
      </c>
      <c r="BD39" s="317">
        <f>IF(Tabelle1!AX39&gt;=Solarstrom!$I$45,Solarstrom!$I$35-Solarstrom!$E$39,0)*$AU$15</f>
        <v>0</v>
      </c>
      <c r="BE39" s="631">
        <f>BE38+($BE$16*Solarstrom!$I$21)</f>
        <v>0.28000000000000003</v>
      </c>
      <c r="BF39" s="295">
        <f t="shared" si="3"/>
        <v>0</v>
      </c>
      <c r="BG39" s="636"/>
      <c r="BH39" s="636"/>
      <c r="BI39" s="636"/>
      <c r="BJ39" s="636"/>
      <c r="BK39" s="636"/>
      <c r="BL39" s="636"/>
      <c r="BM39" s="636"/>
      <c r="BN39" s="636"/>
      <c r="BO39" s="636"/>
      <c r="CA39" s="282">
        <f>CA38*POWER($CB$14,1/$CA$14)</f>
        <v>0.82171116606554018</v>
      </c>
      <c r="CB39" s="285">
        <f>CA39*Solarstrom!$E$57</f>
        <v>22357.939117477283</v>
      </c>
      <c r="CC39" s="282">
        <v>22</v>
      </c>
      <c r="CD39" s="45"/>
    </row>
    <row r="40" spans="1:82" ht="15" customHeight="1">
      <c r="A40" s="313">
        <f>Solarstrom!K105+Solarstrom!M105+Solarstrom!O105</f>
        <v>816.27</v>
      </c>
      <c r="B40" s="313">
        <f t="shared" si="15"/>
        <v>816.27</v>
      </c>
      <c r="F40" s="632">
        <v>11</v>
      </c>
      <c r="G40" s="631">
        <v>2010</v>
      </c>
      <c r="H40" s="635">
        <f t="shared" si="18"/>
        <v>1011</v>
      </c>
      <c r="I40" s="658">
        <v>33.03</v>
      </c>
      <c r="J40" s="658">
        <v>31.42</v>
      </c>
      <c r="K40" s="658">
        <v>29.73</v>
      </c>
      <c r="L40" s="658">
        <v>24.79</v>
      </c>
      <c r="M40" s="658">
        <v>25.37</v>
      </c>
      <c r="N40" s="658">
        <v>24.26</v>
      </c>
      <c r="O40" s="658">
        <v>16.649999999999999</v>
      </c>
      <c r="P40" s="658">
        <v>21.03</v>
      </c>
      <c r="Q40" s="658">
        <v>15.04</v>
      </c>
      <c r="R40" s="658">
        <v>19.420000000000002</v>
      </c>
      <c r="S40" s="658">
        <v>13.35</v>
      </c>
      <c r="T40" s="658">
        <v>17.73</v>
      </c>
      <c r="W40" s="631">
        <v>12</v>
      </c>
      <c r="X40" s="631">
        <v>2014</v>
      </c>
      <c r="Y40" s="635">
        <f t="shared" si="16"/>
        <v>1412</v>
      </c>
      <c r="Z40" s="1">
        <v>30</v>
      </c>
      <c r="AA40" s="1"/>
      <c r="AI40" s="282">
        <v>23</v>
      </c>
      <c r="AJ40" s="43">
        <f t="shared" si="23"/>
        <v>0</v>
      </c>
      <c r="AK40" s="43">
        <f>AJ40-AL40</f>
        <v>0</v>
      </c>
      <c r="AL40" s="50">
        <f>Solarstrom!$M$39/12*3*AM39</f>
        <v>0</v>
      </c>
      <c r="AM40" s="49">
        <f t="shared" si="24"/>
        <v>0</v>
      </c>
      <c r="AN40" s="47"/>
      <c r="AO40" s="282"/>
      <c r="AP40" s="282"/>
      <c r="AQ40" s="282"/>
      <c r="AR40" s="282"/>
      <c r="AV40" s="636"/>
      <c r="AW40" s="636"/>
      <c r="AX40" s="294">
        <f>Solarstrom!A107</f>
        <v>2041</v>
      </c>
      <c r="AY40" s="308">
        <f>IF(AX40=Solarstrom!$I$45,Tabelle1!$AX$15,0)</f>
        <v>0</v>
      </c>
      <c r="AZ40" s="636"/>
      <c r="BA40" s="308">
        <v>24</v>
      </c>
      <c r="BB40" s="285"/>
      <c r="BC40" s="317">
        <f>Solarstrom!$E$39</f>
        <v>0</v>
      </c>
      <c r="BD40" s="317">
        <f>IF(Tabelle1!AX40&gt;=Solarstrom!$I$45,Solarstrom!$I$35-Solarstrom!$E$39,0)*$AU$15</f>
        <v>0</v>
      </c>
      <c r="BE40" s="631">
        <f>BE39+($BE$16*Solarstrom!$I$21)</f>
        <v>0.28000000000000003</v>
      </c>
      <c r="BF40" s="295">
        <f t="shared" si="3"/>
        <v>0</v>
      </c>
      <c r="BG40" s="636"/>
      <c r="BH40" s="636"/>
      <c r="BI40" s="636"/>
      <c r="BJ40" s="636"/>
      <c r="BK40" s="636"/>
      <c r="BL40" s="636"/>
      <c r="BM40" s="636"/>
      <c r="BN40" s="636"/>
      <c r="BO40" s="636"/>
      <c r="CA40" s="282">
        <f>CA39*POWER($CB$14,1/$CA$14)</f>
        <v>0.81440941938598344</v>
      </c>
      <c r="CB40" s="285">
        <f>CA40*Solarstrom!$E$57</f>
        <v>22159.265892073225</v>
      </c>
      <c r="CC40" s="282">
        <v>23</v>
      </c>
      <c r="CD40" s="45"/>
    </row>
    <row r="41" spans="1:82" ht="15" customHeight="1">
      <c r="A41" s="313">
        <f>Solarstrom!K106+Solarstrom!M106+Solarstrom!O106</f>
        <v>816.27</v>
      </c>
      <c r="B41" s="313">
        <f t="shared" si="15"/>
        <v>816.27</v>
      </c>
      <c r="F41" s="632">
        <v>12</v>
      </c>
      <c r="G41" s="631">
        <v>2010</v>
      </c>
      <c r="H41" s="635">
        <f t="shared" si="18"/>
        <v>1012</v>
      </c>
      <c r="I41" s="658">
        <v>33.03</v>
      </c>
      <c r="J41" s="658">
        <v>31.42</v>
      </c>
      <c r="K41" s="658">
        <v>29.73</v>
      </c>
      <c r="L41" s="658">
        <v>24.79</v>
      </c>
      <c r="M41" s="658">
        <v>25.37</v>
      </c>
      <c r="N41" s="658">
        <v>24.26</v>
      </c>
      <c r="O41" s="658">
        <v>16.649999999999999</v>
      </c>
      <c r="P41" s="658">
        <v>21.03</v>
      </c>
      <c r="Q41" s="658">
        <v>15.04</v>
      </c>
      <c r="R41" s="658">
        <v>19.420000000000002</v>
      </c>
      <c r="S41" s="658">
        <v>13.35</v>
      </c>
      <c r="T41" s="658">
        <v>17.73</v>
      </c>
      <c r="W41" s="631">
        <v>1</v>
      </c>
      <c r="X41" s="631">
        <v>2015</v>
      </c>
      <c r="Y41" s="635">
        <f t="shared" si="16"/>
        <v>1501</v>
      </c>
      <c r="Z41" s="1">
        <v>30</v>
      </c>
      <c r="AA41" s="1"/>
      <c r="AI41" s="282">
        <v>24</v>
      </c>
      <c r="AJ41" s="43">
        <f t="shared" si="23"/>
        <v>0</v>
      </c>
      <c r="AK41" s="43">
        <f>AJ41-AL41</f>
        <v>0</v>
      </c>
      <c r="AL41" s="50">
        <f>Solarstrom!$M$39/12*3*AM40</f>
        <v>0</v>
      </c>
      <c r="AM41" s="49">
        <f t="shared" si="24"/>
        <v>0</v>
      </c>
      <c r="AN41" s="47">
        <f>SUM(AJ38:AJ41)</f>
        <v>0</v>
      </c>
      <c r="AO41" s="43">
        <f>SUM(AK38:AK41)</f>
        <v>0</v>
      </c>
      <c r="AP41" s="43">
        <f>SUM(AL38:AL41)</f>
        <v>0</v>
      </c>
      <c r="AQ41" s="282"/>
      <c r="AR41" s="282"/>
      <c r="AX41" s="294">
        <f>Solarstrom!A108</f>
        <v>2042</v>
      </c>
      <c r="AY41" s="308">
        <f>IF(AX41=Solarstrom!$I$45,Tabelle1!$AX$15,0)</f>
        <v>0</v>
      </c>
      <c r="BA41" s="308">
        <v>25</v>
      </c>
      <c r="BC41" s="317">
        <f>Solarstrom!$E$39</f>
        <v>0</v>
      </c>
      <c r="BD41" s="317">
        <f>IF(Tabelle1!AX41&gt;=Solarstrom!$I$45,Solarstrom!$I$35-Solarstrom!$E$39,0)*$AU$15</f>
        <v>0</v>
      </c>
      <c r="BE41" s="631">
        <f>BE40+($BE$16*Solarstrom!$I$21)</f>
        <v>0.28000000000000003</v>
      </c>
      <c r="BF41" s="295">
        <f t="shared" si="3"/>
        <v>0</v>
      </c>
      <c r="CA41" s="282">
        <f>CA40*POWER($CB$14,1/$CA$14)</f>
        <v>0.80717255621631945</v>
      </c>
      <c r="CB41" s="285">
        <f>CA41*Solarstrom!$E$57</f>
        <v>21962.358082089835</v>
      </c>
      <c r="CC41" s="282">
        <v>24</v>
      </c>
      <c r="CD41" s="45"/>
    </row>
    <row r="42" spans="1:82" ht="15" customHeight="1">
      <c r="A42" s="313">
        <f>Solarstrom!K107+Solarstrom!M107+Solarstrom!O107</f>
        <v>816.27</v>
      </c>
      <c r="B42" s="313">
        <f t="shared" si="15"/>
        <v>816.27</v>
      </c>
      <c r="D42" s="644">
        <f>1-(I42/I41)</f>
        <v>0.12988192552225253</v>
      </c>
      <c r="F42" s="632">
        <v>1</v>
      </c>
      <c r="G42" s="631">
        <v>2011</v>
      </c>
      <c r="H42" s="635">
        <f t="shared" si="18"/>
        <v>1101</v>
      </c>
      <c r="I42" s="658">
        <v>28.74</v>
      </c>
      <c r="J42" s="658">
        <v>27.33</v>
      </c>
      <c r="K42" s="658">
        <v>25.86</v>
      </c>
      <c r="L42" s="658">
        <v>21.56</v>
      </c>
      <c r="M42" s="658">
        <v>22.07</v>
      </c>
      <c r="N42" s="658">
        <v>21.11</v>
      </c>
      <c r="O42" s="658">
        <v>12.36</v>
      </c>
      <c r="P42" s="658">
        <v>16.739999999999998</v>
      </c>
      <c r="Q42" s="658">
        <v>10.95</v>
      </c>
      <c r="R42" s="658">
        <v>15.33</v>
      </c>
      <c r="S42" s="658">
        <v>9.48</v>
      </c>
      <c r="T42" s="658">
        <v>13.86</v>
      </c>
      <c r="W42" s="631">
        <v>2</v>
      </c>
      <c r="X42" s="631">
        <v>2015</v>
      </c>
      <c r="Y42" s="635">
        <f t="shared" si="16"/>
        <v>1502</v>
      </c>
      <c r="Z42" s="1">
        <v>30</v>
      </c>
      <c r="AA42" s="1"/>
      <c r="AI42" s="282">
        <v>25</v>
      </c>
      <c r="AJ42" s="43">
        <f t="shared" si="23"/>
        <v>0</v>
      </c>
      <c r="AK42" s="43">
        <f t="shared" ref="AK42:AK76" si="25">AJ42-AL42</f>
        <v>0</v>
      </c>
      <c r="AL42" s="50">
        <f>Solarstrom!$M$39/12*3*AM41</f>
        <v>0</v>
      </c>
      <c r="AM42" s="49">
        <f t="shared" si="24"/>
        <v>0</v>
      </c>
      <c r="AN42" s="47"/>
      <c r="AO42" s="282"/>
      <c r="AP42" s="282"/>
      <c r="AQ42" s="282"/>
      <c r="AR42" s="282"/>
      <c r="CA42" s="282">
        <f>CA41*POWER($CB$14,1/$CA$14)</f>
        <v>0.80000000000000071</v>
      </c>
      <c r="CB42" s="285">
        <f>CA42*Solarstrom!$E$57</f>
        <v>21767.200000000019</v>
      </c>
      <c r="CC42" s="282">
        <v>25</v>
      </c>
      <c r="CD42" s="45"/>
    </row>
    <row r="43" spans="1:82" ht="15" customHeight="1">
      <c r="A43" s="313">
        <f>Solarstrom!K108+Solarstrom!M108+Solarstrom!O108</f>
        <v>816.27</v>
      </c>
      <c r="B43" s="313">
        <f t="shared" si="15"/>
        <v>816.27</v>
      </c>
      <c r="F43" s="632">
        <v>2</v>
      </c>
      <c r="G43" s="631">
        <v>2011</v>
      </c>
      <c r="H43" s="635">
        <f t="shared" si="18"/>
        <v>1102</v>
      </c>
      <c r="I43" s="658">
        <v>28.74</v>
      </c>
      <c r="J43" s="658">
        <v>27.33</v>
      </c>
      <c r="K43" s="658">
        <v>25.86</v>
      </c>
      <c r="L43" s="658">
        <v>21.56</v>
      </c>
      <c r="M43" s="658">
        <v>22.07</v>
      </c>
      <c r="N43" s="658">
        <v>21.11</v>
      </c>
      <c r="O43" s="658">
        <v>12.36</v>
      </c>
      <c r="P43" s="658">
        <v>16.739999999999998</v>
      </c>
      <c r="Q43" s="658">
        <v>10.95</v>
      </c>
      <c r="R43" s="658">
        <v>15.33</v>
      </c>
      <c r="S43" s="658">
        <v>9.48</v>
      </c>
      <c r="T43" s="658">
        <v>13.86</v>
      </c>
      <c r="W43" s="631">
        <v>3</v>
      </c>
      <c r="X43" s="631">
        <v>2015</v>
      </c>
      <c r="Y43" s="635">
        <f t="shared" si="16"/>
        <v>1503</v>
      </c>
      <c r="Z43" s="1">
        <v>30</v>
      </c>
      <c r="AA43" s="1"/>
      <c r="AI43" s="282">
        <v>26</v>
      </c>
      <c r="AJ43" s="43">
        <f t="shared" si="23"/>
        <v>0</v>
      </c>
      <c r="AK43" s="43">
        <f t="shared" si="25"/>
        <v>0</v>
      </c>
      <c r="AL43" s="50">
        <f>Solarstrom!$M$39/12*3*AM42</f>
        <v>0</v>
      </c>
      <c r="AM43" s="49">
        <f t="shared" si="24"/>
        <v>0</v>
      </c>
      <c r="AN43" s="47"/>
      <c r="AO43" s="282"/>
      <c r="AP43" s="282"/>
      <c r="AQ43" s="282"/>
      <c r="AR43" s="282"/>
      <c r="AV43" s="636"/>
      <c r="AW43" s="636"/>
      <c r="AX43" s="636"/>
      <c r="AY43" s="636"/>
      <c r="AZ43" s="636"/>
      <c r="BA43" s="636"/>
      <c r="BB43" s="308"/>
      <c r="BC43" s="314"/>
      <c r="BD43" s="314"/>
      <c r="BE43" s="636"/>
      <c r="BF43" s="636"/>
      <c r="BG43" s="636"/>
      <c r="BH43" s="636"/>
      <c r="BI43" s="636"/>
      <c r="BJ43" s="636"/>
      <c r="BK43" s="636"/>
      <c r="BL43" s="636"/>
      <c r="BM43" s="636"/>
      <c r="BN43" s="636"/>
      <c r="BO43" s="636"/>
      <c r="CA43" s="308"/>
      <c r="CB43" s="285">
        <f>SUM(CB37:CB42)</f>
        <v>606957.94758572069</v>
      </c>
      <c r="CC43" s="282" t="s">
        <v>58</v>
      </c>
      <c r="CD43" s="45"/>
    </row>
    <row r="44" spans="1:82" ht="15" customHeight="1">
      <c r="A44" s="313"/>
      <c r="B44" s="307"/>
      <c r="F44" s="632">
        <v>3</v>
      </c>
      <c r="G44" s="631">
        <v>2011</v>
      </c>
      <c r="H44" s="635">
        <f t="shared" si="18"/>
        <v>1103</v>
      </c>
      <c r="I44" s="658">
        <v>28.74</v>
      </c>
      <c r="J44" s="658">
        <v>27.33</v>
      </c>
      <c r="K44" s="658">
        <v>25.86</v>
      </c>
      <c r="L44" s="658">
        <v>21.56</v>
      </c>
      <c r="M44" s="658">
        <v>22.07</v>
      </c>
      <c r="N44" s="658">
        <v>21.11</v>
      </c>
      <c r="O44" s="658">
        <v>12.36</v>
      </c>
      <c r="P44" s="658">
        <v>16.739999999999998</v>
      </c>
      <c r="Q44" s="658">
        <v>10.95</v>
      </c>
      <c r="R44" s="658">
        <v>15.33</v>
      </c>
      <c r="S44" s="658">
        <v>9.48</v>
      </c>
      <c r="T44" s="658">
        <v>13.86</v>
      </c>
      <c r="W44" s="631">
        <v>4</v>
      </c>
      <c r="X44" s="631">
        <v>2015</v>
      </c>
      <c r="Y44" s="635">
        <f t="shared" si="16"/>
        <v>1504</v>
      </c>
      <c r="Z44" s="1">
        <v>30</v>
      </c>
      <c r="AA44" s="1"/>
      <c r="AI44" s="282">
        <v>27</v>
      </c>
      <c r="AJ44" s="43">
        <f t="shared" si="23"/>
        <v>0</v>
      </c>
      <c r="AK44" s="43">
        <f t="shared" si="25"/>
        <v>0</v>
      </c>
      <c r="AL44" s="50">
        <f>Solarstrom!$M$39/12*3*AM43</f>
        <v>0</v>
      </c>
      <c r="AM44" s="49">
        <f t="shared" si="24"/>
        <v>0</v>
      </c>
      <c r="AN44" s="47"/>
      <c r="AO44" s="282"/>
      <c r="AP44" s="282"/>
      <c r="AQ44" s="282"/>
      <c r="AR44" s="282"/>
      <c r="AV44" s="636"/>
      <c r="AW44" s="636"/>
      <c r="AX44" s="636"/>
      <c r="AY44" s="636"/>
      <c r="AZ44" s="636"/>
      <c r="BA44" s="636"/>
      <c r="BB44" s="308"/>
      <c r="BC44" s="314"/>
      <c r="BD44" s="636"/>
      <c r="BE44" s="314"/>
      <c r="BF44" s="314"/>
      <c r="BG44" s="636"/>
      <c r="BH44" s="636"/>
      <c r="BI44" s="636"/>
      <c r="BJ44" s="636"/>
      <c r="BK44" s="636"/>
      <c r="BL44" s="636"/>
      <c r="BM44" s="636"/>
      <c r="BN44" s="636"/>
      <c r="BO44" s="636"/>
      <c r="CA44" s="308"/>
      <c r="CB44" s="308"/>
      <c r="CC44" s="308"/>
      <c r="CD44" s="45"/>
    </row>
    <row r="45" spans="1:82" ht="15" customHeight="1">
      <c r="A45" s="417">
        <f>IRR(A17:A38)</f>
        <v>2.2534925573571361E-2</v>
      </c>
      <c r="B45" s="310"/>
      <c r="F45" s="632">
        <v>4</v>
      </c>
      <c r="G45" s="631">
        <v>2011</v>
      </c>
      <c r="H45" s="635">
        <f t="shared" si="18"/>
        <v>1104</v>
      </c>
      <c r="I45" s="658">
        <v>28.74</v>
      </c>
      <c r="J45" s="658">
        <v>27.33</v>
      </c>
      <c r="K45" s="658">
        <v>25.86</v>
      </c>
      <c r="L45" s="658">
        <v>21.56</v>
      </c>
      <c r="M45" s="658">
        <v>22.07</v>
      </c>
      <c r="N45" s="658">
        <v>21.11</v>
      </c>
      <c r="O45" s="658">
        <v>12.36</v>
      </c>
      <c r="P45" s="658">
        <v>16.739999999999998</v>
      </c>
      <c r="Q45" s="658">
        <v>10.95</v>
      </c>
      <c r="R45" s="658">
        <v>15.33</v>
      </c>
      <c r="S45" s="658">
        <v>9.48</v>
      </c>
      <c r="T45" s="658">
        <v>13.86</v>
      </c>
      <c r="W45" s="631">
        <v>5</v>
      </c>
      <c r="X45" s="631">
        <v>2015</v>
      </c>
      <c r="Y45" s="635">
        <f t="shared" si="16"/>
        <v>1505</v>
      </c>
      <c r="Z45" s="1">
        <v>30</v>
      </c>
      <c r="AA45" s="1"/>
      <c r="AI45" s="282">
        <v>28</v>
      </c>
      <c r="AJ45" s="43">
        <f t="shared" si="23"/>
        <v>0</v>
      </c>
      <c r="AK45" s="43">
        <f t="shared" si="25"/>
        <v>0</v>
      </c>
      <c r="AL45" s="50">
        <f>Solarstrom!$M$39/12*3*AM44</f>
        <v>0</v>
      </c>
      <c r="AM45" s="49">
        <f t="shared" si="24"/>
        <v>0</v>
      </c>
      <c r="AN45" s="47">
        <f>SUM(AJ42:AJ45)</f>
        <v>0</v>
      </c>
      <c r="AO45" s="43">
        <f>SUM(AK42:AK45)</f>
        <v>0</v>
      </c>
      <c r="AP45" s="43">
        <f>SUM(AL42:AL45)</f>
        <v>0</v>
      </c>
      <c r="AQ45" s="282"/>
      <c r="AR45" s="282"/>
      <c r="AV45" s="636"/>
      <c r="AW45" s="636"/>
      <c r="AX45" s="636"/>
      <c r="AY45" s="636"/>
      <c r="AZ45" s="636"/>
      <c r="BA45" s="636"/>
      <c r="BB45" s="308"/>
      <c r="BC45" s="314"/>
      <c r="BD45" s="636"/>
      <c r="BE45" s="636"/>
      <c r="BF45" s="636"/>
      <c r="BG45" s="636"/>
      <c r="BH45" s="636"/>
      <c r="BI45" s="636"/>
      <c r="BJ45" s="636"/>
      <c r="BK45" s="636"/>
      <c r="BL45" s="636"/>
      <c r="BM45" s="636"/>
      <c r="BN45" s="636"/>
      <c r="BO45" s="636"/>
      <c r="CA45" s="308"/>
      <c r="CB45" s="308"/>
      <c r="CC45" s="308"/>
      <c r="CD45" s="45"/>
    </row>
    <row r="46" spans="1:82" ht="15" customHeight="1">
      <c r="A46" s="308"/>
      <c r="B46" s="308"/>
      <c r="F46" s="632">
        <v>5</v>
      </c>
      <c r="G46" s="631">
        <v>2011</v>
      </c>
      <c r="H46" s="635">
        <f t="shared" si="18"/>
        <v>1105</v>
      </c>
      <c r="I46" s="658">
        <v>28.74</v>
      </c>
      <c r="J46" s="658">
        <v>27.33</v>
      </c>
      <c r="K46" s="658">
        <v>25.86</v>
      </c>
      <c r="L46" s="658">
        <v>21.56</v>
      </c>
      <c r="M46" s="658">
        <v>22.07</v>
      </c>
      <c r="N46" s="658">
        <v>21.11</v>
      </c>
      <c r="O46" s="658">
        <v>12.36</v>
      </c>
      <c r="P46" s="658">
        <v>16.739999999999998</v>
      </c>
      <c r="Q46" s="658">
        <v>10.95</v>
      </c>
      <c r="R46" s="658">
        <v>15.33</v>
      </c>
      <c r="S46" s="658">
        <v>9.48</v>
      </c>
      <c r="T46" s="658">
        <v>13.86</v>
      </c>
      <c r="W46" s="631">
        <v>6</v>
      </c>
      <c r="X46" s="631">
        <v>2015</v>
      </c>
      <c r="Y46" s="635">
        <f t="shared" si="16"/>
        <v>1506</v>
      </c>
      <c r="Z46" s="1">
        <v>30</v>
      </c>
      <c r="AA46" s="1"/>
      <c r="AI46" s="282">
        <v>29</v>
      </c>
      <c r="AJ46" s="43">
        <f t="shared" si="23"/>
        <v>0</v>
      </c>
      <c r="AK46" s="43">
        <f t="shared" si="25"/>
        <v>0</v>
      </c>
      <c r="AL46" s="50">
        <f>Solarstrom!$M$39/12*3*AM45</f>
        <v>0</v>
      </c>
      <c r="AM46" s="49">
        <f t="shared" si="24"/>
        <v>0</v>
      </c>
      <c r="AN46" s="47"/>
      <c r="AO46" s="282"/>
      <c r="AP46" s="282"/>
      <c r="AQ46" s="282"/>
      <c r="AR46" s="282"/>
      <c r="CA46" s="159"/>
      <c r="CB46" s="167"/>
      <c r="CC46" s="282"/>
      <c r="CD46" s="45"/>
    </row>
    <row r="47" spans="1:82" ht="15" customHeight="1">
      <c r="B47" s="417">
        <f>IRR(B17:B43)</f>
        <v>1.858930094683103E-2</v>
      </c>
      <c r="F47" s="632">
        <v>6</v>
      </c>
      <c r="G47" s="631">
        <v>2011</v>
      </c>
      <c r="H47" s="635">
        <f t="shared" si="18"/>
        <v>1106</v>
      </c>
      <c r="I47" s="658">
        <v>28.74</v>
      </c>
      <c r="J47" s="658">
        <v>27.33</v>
      </c>
      <c r="K47" s="658">
        <v>25.86</v>
      </c>
      <c r="L47" s="658">
        <v>21.56</v>
      </c>
      <c r="M47" s="658">
        <v>22.07</v>
      </c>
      <c r="N47" s="658">
        <v>21.11</v>
      </c>
      <c r="O47" s="658">
        <v>12.36</v>
      </c>
      <c r="P47" s="658">
        <v>16.739999999999998</v>
      </c>
      <c r="Q47" s="658">
        <v>10.95</v>
      </c>
      <c r="R47" s="658">
        <v>15.33</v>
      </c>
      <c r="S47" s="658">
        <v>9.48</v>
      </c>
      <c r="T47" s="658">
        <v>13.86</v>
      </c>
      <c r="W47" s="631">
        <v>7</v>
      </c>
      <c r="X47" s="631">
        <v>2015</v>
      </c>
      <c r="Y47" s="635">
        <f t="shared" si="16"/>
        <v>1507</v>
      </c>
      <c r="Z47" s="1">
        <v>30</v>
      </c>
      <c r="AA47" s="1"/>
      <c r="AI47" s="282">
        <v>30</v>
      </c>
      <c r="AJ47" s="43">
        <f t="shared" si="23"/>
        <v>0</v>
      </c>
      <c r="AK47" s="43">
        <f t="shared" si="25"/>
        <v>0</v>
      </c>
      <c r="AL47" s="50">
        <f>Solarstrom!$M$39/12*3*AM46</f>
        <v>0</v>
      </c>
      <c r="AM47" s="49">
        <f t="shared" si="24"/>
        <v>0</v>
      </c>
      <c r="AN47" s="47"/>
      <c r="AO47" s="282"/>
      <c r="AP47" s="282"/>
      <c r="AQ47" s="282"/>
      <c r="AR47" s="282"/>
      <c r="CD47" s="45"/>
    </row>
    <row r="48" spans="1:82" ht="15" customHeight="1">
      <c r="B48" s="871"/>
      <c r="F48" s="632">
        <v>7</v>
      </c>
      <c r="G48" s="631">
        <v>2011</v>
      </c>
      <c r="H48" s="635">
        <f t="shared" si="18"/>
        <v>1107</v>
      </c>
      <c r="I48" s="658">
        <v>28.74</v>
      </c>
      <c r="J48" s="658">
        <v>27.33</v>
      </c>
      <c r="K48" s="658">
        <v>25.86</v>
      </c>
      <c r="L48" s="658">
        <v>21.56</v>
      </c>
      <c r="M48" s="658">
        <v>22.07</v>
      </c>
      <c r="N48" s="658">
        <v>21.11</v>
      </c>
      <c r="O48" s="658">
        <v>12.36</v>
      </c>
      <c r="P48" s="658">
        <v>16.739999999999998</v>
      </c>
      <c r="Q48" s="658">
        <v>10.95</v>
      </c>
      <c r="R48" s="658">
        <v>15.33</v>
      </c>
      <c r="S48" s="658">
        <v>9.48</v>
      </c>
      <c r="T48" s="658">
        <v>13.86</v>
      </c>
      <c r="W48" s="631">
        <v>8</v>
      </c>
      <c r="X48" s="631">
        <v>2015</v>
      </c>
      <c r="Y48" s="635">
        <f t="shared" si="16"/>
        <v>1508</v>
      </c>
      <c r="Z48" s="1">
        <v>30</v>
      </c>
      <c r="AA48" s="1"/>
      <c r="AI48" s="282">
        <v>31</v>
      </c>
      <c r="AJ48" s="43">
        <f t="shared" si="23"/>
        <v>0</v>
      </c>
      <c r="AK48" s="43">
        <f t="shared" si="25"/>
        <v>0</v>
      </c>
      <c r="AL48" s="50">
        <f>Solarstrom!$M$39/12*3*AM47</f>
        <v>0</v>
      </c>
      <c r="AM48" s="49">
        <f t="shared" si="24"/>
        <v>0</v>
      </c>
      <c r="AN48" s="47"/>
      <c r="AO48" s="282"/>
      <c r="AP48" s="282"/>
      <c r="AQ48" s="282"/>
      <c r="AR48" s="282"/>
      <c r="CD48" s="45"/>
    </row>
    <row r="49" spans="4:82" ht="15" customHeight="1">
      <c r="F49" s="632">
        <v>8</v>
      </c>
      <c r="G49" s="631">
        <v>2011</v>
      </c>
      <c r="H49" s="635">
        <f t="shared" si="18"/>
        <v>1108</v>
      </c>
      <c r="I49" s="658">
        <v>28.74</v>
      </c>
      <c r="J49" s="658">
        <v>27.33</v>
      </c>
      <c r="K49" s="658">
        <v>25.86</v>
      </c>
      <c r="L49" s="658">
        <v>21.56</v>
      </c>
      <c r="M49" s="658">
        <v>22.07</v>
      </c>
      <c r="N49" s="658">
        <v>21.11</v>
      </c>
      <c r="O49" s="658">
        <v>12.36</v>
      </c>
      <c r="P49" s="658">
        <v>16.739999999999998</v>
      </c>
      <c r="Q49" s="658">
        <v>10.95</v>
      </c>
      <c r="R49" s="658">
        <v>15.33</v>
      </c>
      <c r="S49" s="658">
        <v>9.48</v>
      </c>
      <c r="T49" s="658">
        <v>13.86</v>
      </c>
      <c r="W49" s="631">
        <v>9</v>
      </c>
      <c r="X49" s="631">
        <v>2015</v>
      </c>
      <c r="Y49" s="635">
        <f t="shared" si="16"/>
        <v>1509</v>
      </c>
      <c r="Z49" s="1">
        <v>30</v>
      </c>
      <c r="AA49" s="1"/>
      <c r="AI49" s="282">
        <v>32</v>
      </c>
      <c r="AJ49" s="43">
        <f t="shared" si="23"/>
        <v>0</v>
      </c>
      <c r="AK49" s="43">
        <f t="shared" si="25"/>
        <v>0</v>
      </c>
      <c r="AL49" s="50">
        <f>Solarstrom!$M$39/12*3*AM48</f>
        <v>0</v>
      </c>
      <c r="AM49" s="49">
        <f t="shared" si="24"/>
        <v>0</v>
      </c>
      <c r="AN49" s="47">
        <f>SUM(AJ46:AJ49)</f>
        <v>0</v>
      </c>
      <c r="AO49" s="43">
        <f>SUM(AK46:AK49)</f>
        <v>0</v>
      </c>
      <c r="AP49" s="43">
        <f>SUM(AL46:AL49)</f>
        <v>0</v>
      </c>
      <c r="AQ49" s="282"/>
      <c r="AR49" s="282"/>
      <c r="CD49" s="45"/>
    </row>
    <row r="50" spans="4:82" ht="15" customHeight="1">
      <c r="F50" s="632">
        <v>9</v>
      </c>
      <c r="G50" s="631">
        <v>2011</v>
      </c>
      <c r="H50" s="635">
        <f t="shared" si="18"/>
        <v>1109</v>
      </c>
      <c r="I50" s="658">
        <v>28.74</v>
      </c>
      <c r="J50" s="658">
        <v>27.33</v>
      </c>
      <c r="K50" s="658">
        <v>25.86</v>
      </c>
      <c r="L50" s="658">
        <v>21.56</v>
      </c>
      <c r="M50" s="658">
        <v>22.07</v>
      </c>
      <c r="N50" s="658">
        <v>21.11</v>
      </c>
      <c r="O50" s="658">
        <v>12.36</v>
      </c>
      <c r="P50" s="658">
        <v>16.739999999999998</v>
      </c>
      <c r="Q50" s="658">
        <v>10.95</v>
      </c>
      <c r="R50" s="658">
        <v>15.33</v>
      </c>
      <c r="S50" s="658">
        <v>9.48</v>
      </c>
      <c r="T50" s="658">
        <v>13.86</v>
      </c>
      <c r="W50" s="631">
        <v>10</v>
      </c>
      <c r="X50" s="631">
        <v>2015</v>
      </c>
      <c r="Y50" s="635">
        <f t="shared" si="16"/>
        <v>1510</v>
      </c>
      <c r="Z50" s="1">
        <v>30</v>
      </c>
      <c r="AA50" s="1"/>
      <c r="AI50" s="282">
        <v>33</v>
      </c>
      <c r="AJ50" s="43">
        <f t="shared" si="23"/>
        <v>0</v>
      </c>
      <c r="AK50" s="43">
        <f t="shared" si="25"/>
        <v>0</v>
      </c>
      <c r="AL50" s="50">
        <f>Solarstrom!$M$39/12*3*AM49</f>
        <v>0</v>
      </c>
      <c r="AM50" s="49">
        <f t="shared" si="24"/>
        <v>0</v>
      </c>
      <c r="AN50" s="47"/>
      <c r="AO50" s="282"/>
      <c r="AP50" s="282"/>
      <c r="AQ50" s="282"/>
      <c r="AR50" s="282"/>
      <c r="CD50" s="45"/>
    </row>
    <row r="51" spans="4:82" ht="15" customHeight="1">
      <c r="F51" s="632">
        <v>10</v>
      </c>
      <c r="G51" s="631">
        <v>2011</v>
      </c>
      <c r="H51" s="635">
        <f t="shared" si="18"/>
        <v>1110</v>
      </c>
      <c r="I51" s="658">
        <v>28.74</v>
      </c>
      <c r="J51" s="658">
        <v>27.33</v>
      </c>
      <c r="K51" s="658">
        <v>25.86</v>
      </c>
      <c r="L51" s="658">
        <v>21.56</v>
      </c>
      <c r="M51" s="658">
        <v>22.07</v>
      </c>
      <c r="N51" s="658">
        <v>21.11</v>
      </c>
      <c r="O51" s="658">
        <v>12.36</v>
      </c>
      <c r="P51" s="658">
        <v>16.739999999999998</v>
      </c>
      <c r="Q51" s="658">
        <v>10.95</v>
      </c>
      <c r="R51" s="658">
        <v>15.33</v>
      </c>
      <c r="S51" s="658">
        <v>9.48</v>
      </c>
      <c r="T51" s="658">
        <v>13.86</v>
      </c>
      <c r="W51" s="631">
        <v>11</v>
      </c>
      <c r="X51" s="631">
        <v>2015</v>
      </c>
      <c r="Y51" s="635">
        <f t="shared" si="16"/>
        <v>1511</v>
      </c>
      <c r="Z51" s="1">
        <v>30</v>
      </c>
      <c r="AA51" s="1"/>
      <c r="AI51" s="282">
        <v>34</v>
      </c>
      <c r="AJ51" s="43">
        <f t="shared" si="23"/>
        <v>0</v>
      </c>
      <c r="AK51" s="43">
        <f t="shared" si="25"/>
        <v>0</v>
      </c>
      <c r="AL51" s="50">
        <f>Solarstrom!$M$39/12*3*AM50</f>
        <v>0</v>
      </c>
      <c r="AM51" s="49">
        <f t="shared" si="24"/>
        <v>0</v>
      </c>
      <c r="AN51" s="47"/>
      <c r="AO51" s="282"/>
      <c r="AP51" s="282"/>
      <c r="AQ51" s="282"/>
      <c r="AR51" s="282"/>
      <c r="CD51" s="45"/>
    </row>
    <row r="52" spans="4:82" ht="15" customHeight="1">
      <c r="F52" s="632">
        <v>11</v>
      </c>
      <c r="G52" s="631">
        <v>2011</v>
      </c>
      <c r="H52" s="635">
        <f t="shared" si="18"/>
        <v>1111</v>
      </c>
      <c r="I52" s="658">
        <v>28.74</v>
      </c>
      <c r="J52" s="658">
        <v>27.33</v>
      </c>
      <c r="K52" s="658">
        <v>25.86</v>
      </c>
      <c r="L52" s="658">
        <v>21.56</v>
      </c>
      <c r="M52" s="658">
        <v>22.07</v>
      </c>
      <c r="N52" s="658">
        <v>21.11</v>
      </c>
      <c r="O52" s="658">
        <v>12.36</v>
      </c>
      <c r="P52" s="658">
        <v>16.739999999999998</v>
      </c>
      <c r="Q52" s="658">
        <v>10.95</v>
      </c>
      <c r="R52" s="658">
        <v>15.33</v>
      </c>
      <c r="S52" s="658">
        <v>9.48</v>
      </c>
      <c r="T52" s="658">
        <v>13.86</v>
      </c>
      <c r="W52" s="631">
        <v>12</v>
      </c>
      <c r="X52" s="631">
        <v>2015</v>
      </c>
      <c r="Y52" s="635">
        <f t="shared" si="16"/>
        <v>1512</v>
      </c>
      <c r="Z52" s="1">
        <v>30</v>
      </c>
      <c r="AA52" s="1"/>
      <c r="AI52" s="282">
        <v>35</v>
      </c>
      <c r="AJ52" s="43">
        <f t="shared" si="23"/>
        <v>0</v>
      </c>
      <c r="AK52" s="43">
        <f t="shared" si="25"/>
        <v>0</v>
      </c>
      <c r="AL52" s="50">
        <f>Solarstrom!$M$39/12*3*AM51</f>
        <v>0</v>
      </c>
      <c r="AM52" s="49">
        <f t="shared" si="24"/>
        <v>0</v>
      </c>
      <c r="AN52" s="47"/>
      <c r="AO52" s="282"/>
      <c r="AP52" s="282"/>
      <c r="AQ52" s="282"/>
      <c r="AR52" s="282"/>
      <c r="CD52" s="45"/>
    </row>
    <row r="53" spans="4:82" ht="15" customHeight="1">
      <c r="F53" s="632">
        <v>12</v>
      </c>
      <c r="G53" s="631">
        <v>2011</v>
      </c>
      <c r="H53" s="635">
        <f t="shared" si="18"/>
        <v>1112</v>
      </c>
      <c r="I53" s="658">
        <v>28.74</v>
      </c>
      <c r="J53" s="658">
        <v>27.33</v>
      </c>
      <c r="K53" s="658">
        <v>25.86</v>
      </c>
      <c r="L53" s="658">
        <v>21.56</v>
      </c>
      <c r="M53" s="658">
        <v>22.07</v>
      </c>
      <c r="N53" s="658">
        <v>21.11</v>
      </c>
      <c r="O53" s="658">
        <v>12.36</v>
      </c>
      <c r="P53" s="658">
        <v>16.739999999999998</v>
      </c>
      <c r="Q53" s="658">
        <v>10.95</v>
      </c>
      <c r="R53" s="658">
        <v>15.33</v>
      </c>
      <c r="S53" s="658">
        <v>9.48</v>
      </c>
      <c r="T53" s="658">
        <v>13.86</v>
      </c>
      <c r="W53" s="631">
        <v>1</v>
      </c>
      <c r="X53" s="631">
        <v>2016</v>
      </c>
      <c r="Y53" s="635">
        <f t="shared" si="16"/>
        <v>1601</v>
      </c>
      <c r="Z53" s="1">
        <v>25</v>
      </c>
      <c r="AA53" s="1"/>
      <c r="AI53" s="282">
        <v>36</v>
      </c>
      <c r="AJ53" s="43">
        <f t="shared" si="23"/>
        <v>0</v>
      </c>
      <c r="AK53" s="43">
        <f t="shared" si="25"/>
        <v>0</v>
      </c>
      <c r="AL53" s="50">
        <f>Solarstrom!$M$39/12*3*AM52</f>
        <v>0</v>
      </c>
      <c r="AM53" s="49">
        <f t="shared" si="24"/>
        <v>0</v>
      </c>
      <c r="AN53" s="47">
        <f>SUM(AJ50:AJ53)</f>
        <v>0</v>
      </c>
      <c r="AO53" s="43">
        <f>SUM(AK50:AK53)</f>
        <v>0</v>
      </c>
      <c r="AP53" s="43">
        <f>SUM(AL50:AL53)</f>
        <v>0</v>
      </c>
      <c r="AQ53" s="282"/>
      <c r="AR53" s="282"/>
      <c r="CD53" s="45"/>
    </row>
    <row r="54" spans="4:82" ht="15" customHeight="1">
      <c r="D54" s="644">
        <f>1-(I54/I53)</f>
        <v>0.14996520528879609</v>
      </c>
      <c r="F54" s="632">
        <v>1</v>
      </c>
      <c r="G54" s="631">
        <v>2012</v>
      </c>
      <c r="H54" s="635">
        <f t="shared" si="18"/>
        <v>1201</v>
      </c>
      <c r="I54" s="658">
        <v>24.43</v>
      </c>
      <c r="J54" s="658">
        <v>12.23</v>
      </c>
      <c r="K54" s="658">
        <v>21.98</v>
      </c>
      <c r="L54" s="658">
        <v>18.329999999999998</v>
      </c>
      <c r="M54" s="658">
        <v>18.760000000000002</v>
      </c>
      <c r="N54" s="658">
        <v>17.940000000000001</v>
      </c>
      <c r="O54" s="658">
        <v>8.0500000000000007</v>
      </c>
      <c r="P54" s="658">
        <v>12.43</v>
      </c>
      <c r="Q54" s="658">
        <v>6.85</v>
      </c>
      <c r="R54" s="658">
        <v>11.23</v>
      </c>
      <c r="S54" s="658">
        <v>5.6</v>
      </c>
      <c r="T54" s="658">
        <v>9.98</v>
      </c>
      <c r="W54" s="631">
        <v>2</v>
      </c>
      <c r="X54" s="631">
        <v>2016</v>
      </c>
      <c r="Y54" s="635">
        <f t="shared" si="16"/>
        <v>1602</v>
      </c>
      <c r="Z54" s="1">
        <v>25</v>
      </c>
      <c r="AA54" s="1"/>
      <c r="AI54" s="282">
        <v>37</v>
      </c>
      <c r="AJ54" s="43">
        <f t="shared" si="23"/>
        <v>0</v>
      </c>
      <c r="AK54" s="43">
        <f t="shared" si="25"/>
        <v>0</v>
      </c>
      <c r="AL54" s="50">
        <f>Solarstrom!$M$39/12*3*AM53</f>
        <v>0</v>
      </c>
      <c r="AM54" s="49">
        <f t="shared" si="24"/>
        <v>0</v>
      </c>
      <c r="AN54" s="47"/>
      <c r="AO54" s="282"/>
      <c r="AP54" s="282"/>
      <c r="AQ54" s="282"/>
      <c r="AR54" s="282"/>
      <c r="CD54" s="45"/>
    </row>
    <row r="55" spans="4:82" ht="15" customHeight="1">
      <c r="F55" s="632">
        <v>2</v>
      </c>
      <c r="G55" s="631">
        <v>2012</v>
      </c>
      <c r="H55" s="635">
        <f t="shared" si="18"/>
        <v>1202</v>
      </c>
      <c r="I55" s="658">
        <v>24.43</v>
      </c>
      <c r="J55" s="658">
        <v>12.23</v>
      </c>
      <c r="K55" s="658">
        <v>21.98</v>
      </c>
      <c r="L55" s="658">
        <v>18.329999999999998</v>
      </c>
      <c r="M55" s="658">
        <v>18.760000000000002</v>
      </c>
      <c r="N55" s="658">
        <v>17.940000000000001</v>
      </c>
      <c r="O55" s="658">
        <v>8.0500000000000007</v>
      </c>
      <c r="P55" s="658">
        <v>12.43</v>
      </c>
      <c r="Q55" s="658">
        <v>6.85</v>
      </c>
      <c r="R55" s="658">
        <v>11.23</v>
      </c>
      <c r="S55" s="658">
        <v>5.6</v>
      </c>
      <c r="T55" s="658">
        <v>9.98</v>
      </c>
      <c r="W55" s="631">
        <v>3</v>
      </c>
      <c r="X55" s="631">
        <v>2016</v>
      </c>
      <c r="Y55" s="635">
        <f t="shared" si="16"/>
        <v>1603</v>
      </c>
      <c r="Z55" s="1">
        <v>25</v>
      </c>
      <c r="AA55" s="1"/>
      <c r="AI55" s="282">
        <v>38</v>
      </c>
      <c r="AJ55" s="43">
        <f t="shared" si="23"/>
        <v>0</v>
      </c>
      <c r="AK55" s="43">
        <f t="shared" si="25"/>
        <v>0</v>
      </c>
      <c r="AL55" s="50">
        <f>Solarstrom!$M$39/12*3*AM54</f>
        <v>0</v>
      </c>
      <c r="AM55" s="49">
        <f t="shared" si="24"/>
        <v>0</v>
      </c>
      <c r="AN55" s="47"/>
      <c r="AO55" s="282"/>
      <c r="AP55" s="282"/>
      <c r="AQ55" s="282"/>
      <c r="AR55" s="282"/>
      <c r="CD55" s="45"/>
    </row>
    <row r="56" spans="4:82" ht="15" customHeight="1">
      <c r="F56" s="632">
        <v>3</v>
      </c>
      <c r="G56" s="631">
        <v>2012</v>
      </c>
      <c r="H56" s="635">
        <f t="shared" si="18"/>
        <v>1203</v>
      </c>
      <c r="I56" s="658">
        <v>24.43</v>
      </c>
      <c r="J56" s="658">
        <v>12.23</v>
      </c>
      <c r="K56" s="658">
        <v>21.98</v>
      </c>
      <c r="L56" s="658">
        <v>18.329999999999998</v>
      </c>
      <c r="M56" s="658">
        <v>18.760000000000002</v>
      </c>
      <c r="N56" s="658">
        <v>17.940000000000001</v>
      </c>
      <c r="O56" s="658">
        <v>8.0500000000000007</v>
      </c>
      <c r="P56" s="658">
        <v>12.43</v>
      </c>
      <c r="Q56" s="658">
        <v>6.85</v>
      </c>
      <c r="R56" s="658">
        <v>11.23</v>
      </c>
      <c r="S56" s="658">
        <v>5.6</v>
      </c>
      <c r="T56" s="658">
        <v>9.98</v>
      </c>
      <c r="W56" s="631">
        <v>4</v>
      </c>
      <c r="X56" s="631">
        <v>2016</v>
      </c>
      <c r="Y56" s="635">
        <f t="shared" si="16"/>
        <v>1604</v>
      </c>
      <c r="Z56" s="1">
        <v>25</v>
      </c>
      <c r="AA56" s="1"/>
      <c r="AI56" s="282">
        <v>39</v>
      </c>
      <c r="AJ56" s="43">
        <f t="shared" si="23"/>
        <v>0</v>
      </c>
      <c r="AK56" s="43">
        <f t="shared" si="25"/>
        <v>0</v>
      </c>
      <c r="AL56" s="50">
        <f>Solarstrom!$M$39/12*3*AM55</f>
        <v>0</v>
      </c>
      <c r="AM56" s="49">
        <f t="shared" si="24"/>
        <v>0</v>
      </c>
      <c r="AN56" s="47"/>
      <c r="AO56" s="282"/>
      <c r="AP56" s="282"/>
      <c r="AQ56" s="18"/>
      <c r="AR56" s="282"/>
      <c r="CD56" s="308"/>
    </row>
    <row r="57" spans="4:82" ht="15" customHeight="1">
      <c r="E57" s="631">
        <f>SUM(E58:E60)</f>
        <v>0</v>
      </c>
      <c r="H57" s="635" t="str">
        <f>IF(AND($H$10&gt;H56,$H$10&lt;H62),"Überschrift","")</f>
        <v/>
      </c>
      <c r="I57" s="641">
        <v>10</v>
      </c>
      <c r="J57" s="642">
        <v>10</v>
      </c>
      <c r="K57" s="642">
        <v>1000</v>
      </c>
      <c r="M57" s="660">
        <f>K57</f>
        <v>1000</v>
      </c>
      <c r="N57" s="660">
        <f>M57</f>
        <v>1000</v>
      </c>
      <c r="O57" s="658"/>
      <c r="P57" s="658"/>
      <c r="Q57" s="658"/>
      <c r="R57" s="658"/>
      <c r="S57" s="658"/>
      <c r="T57" s="658"/>
      <c r="W57" s="631">
        <v>5</v>
      </c>
      <c r="X57" s="631">
        <v>2016</v>
      </c>
      <c r="Y57" s="635">
        <f t="shared" si="16"/>
        <v>1605</v>
      </c>
      <c r="Z57" s="1">
        <v>25</v>
      </c>
      <c r="AA57" s="1"/>
      <c r="AI57" s="282">
        <v>40</v>
      </c>
      <c r="AJ57" s="43">
        <f t="shared" si="23"/>
        <v>0</v>
      </c>
      <c r="AK57" s="43">
        <f t="shared" si="25"/>
        <v>0</v>
      </c>
      <c r="AL57" s="50">
        <f>Solarstrom!$M$39/12*3*AM56</f>
        <v>0</v>
      </c>
      <c r="AM57" s="49">
        <f t="shared" si="24"/>
        <v>0</v>
      </c>
      <c r="AN57" s="47">
        <f>SUM(AJ54:AJ57)</f>
        <v>0</v>
      </c>
      <c r="AO57" s="43">
        <f>SUM(AK54:AK57)</f>
        <v>0</v>
      </c>
      <c r="AP57" s="43">
        <f>SUM(AL54:AL57)</f>
        <v>0</v>
      </c>
      <c r="AQ57" s="203"/>
      <c r="AR57" s="282"/>
      <c r="CD57" s="308"/>
    </row>
    <row r="58" spans="4:82" ht="15.75">
      <c r="D58" s="644">
        <f>1-(I58/I56)</f>
        <v>0.20180106426524769</v>
      </c>
      <c r="E58" s="631">
        <f>IF($H$10=H58,1,0)</f>
        <v>0</v>
      </c>
      <c r="F58" s="632">
        <v>4</v>
      </c>
      <c r="G58" s="631">
        <v>2012</v>
      </c>
      <c r="H58" s="635">
        <f t="shared" si="18"/>
        <v>1204</v>
      </c>
      <c r="I58" s="661">
        <v>19.5</v>
      </c>
      <c r="J58" s="662">
        <v>16.5</v>
      </c>
      <c r="K58" s="658">
        <v>13.5</v>
      </c>
      <c r="M58" s="663">
        <f>K58</f>
        <v>13.5</v>
      </c>
      <c r="N58" s="663">
        <f>M58</f>
        <v>13.5</v>
      </c>
      <c r="O58" s="658"/>
      <c r="P58" s="658"/>
      <c r="Q58" s="658"/>
      <c r="R58" s="658"/>
      <c r="S58" s="658"/>
      <c r="W58" s="631">
        <v>6</v>
      </c>
      <c r="X58" s="631">
        <v>2016</v>
      </c>
      <c r="Y58" s="635">
        <f t="shared" si="16"/>
        <v>1606</v>
      </c>
      <c r="Z58" s="1">
        <v>25</v>
      </c>
      <c r="AA58" s="1"/>
      <c r="AI58" s="282">
        <v>41</v>
      </c>
      <c r="AJ58" s="43">
        <f t="shared" si="23"/>
        <v>0</v>
      </c>
      <c r="AK58" s="43">
        <f t="shared" si="25"/>
        <v>0</v>
      </c>
      <c r="AL58" s="50">
        <f>Solarstrom!$M$39/12*3*AM57</f>
        <v>0</v>
      </c>
      <c r="AM58" s="49">
        <f t="shared" si="24"/>
        <v>0</v>
      </c>
      <c r="AN58" s="47"/>
      <c r="AO58" s="282"/>
      <c r="AP58" s="282"/>
      <c r="AQ58" s="308"/>
      <c r="AR58" s="308"/>
      <c r="CD58" s="308"/>
    </row>
    <row r="59" spans="4:82" ht="15.75">
      <c r="E59" s="631">
        <f t="shared" ref="E59:E86" si="26">IF($H$10=H59,1,0)</f>
        <v>0</v>
      </c>
      <c r="F59" s="632">
        <v>5</v>
      </c>
      <c r="G59" s="631">
        <v>2012</v>
      </c>
      <c r="H59" s="635">
        <f t="shared" si="18"/>
        <v>1205</v>
      </c>
      <c r="I59" s="661">
        <v>19.5</v>
      </c>
      <c r="J59" s="662">
        <v>16.5</v>
      </c>
      <c r="K59" s="658">
        <v>13.5</v>
      </c>
      <c r="M59" s="663">
        <f>K59</f>
        <v>13.5</v>
      </c>
      <c r="N59" s="663">
        <f>M59</f>
        <v>13.5</v>
      </c>
      <c r="O59" s="658"/>
      <c r="P59" s="658"/>
      <c r="Q59" s="658"/>
      <c r="R59" s="658"/>
      <c r="S59" s="658"/>
      <c r="W59" s="631">
        <v>7</v>
      </c>
      <c r="X59" s="631">
        <v>2016</v>
      </c>
      <c r="Y59" s="635">
        <f t="shared" si="16"/>
        <v>1607</v>
      </c>
      <c r="Z59" s="1">
        <v>22</v>
      </c>
      <c r="AA59" s="1"/>
      <c r="AI59" s="282">
        <v>42</v>
      </c>
      <c r="AJ59" s="43">
        <f t="shared" si="23"/>
        <v>0</v>
      </c>
      <c r="AK59" s="43">
        <f t="shared" si="25"/>
        <v>0</v>
      </c>
      <c r="AL59" s="50">
        <f>Solarstrom!$M$39/12*3*AM58</f>
        <v>0</v>
      </c>
      <c r="AM59" s="49">
        <f t="shared" si="24"/>
        <v>0</v>
      </c>
      <c r="AN59" s="47"/>
      <c r="AO59" s="282"/>
      <c r="AP59" s="282"/>
      <c r="AQ59" s="10"/>
      <c r="AR59" s="10"/>
      <c r="CD59" s="308"/>
    </row>
    <row r="60" spans="4:82" ht="15.75">
      <c r="E60" s="631">
        <f t="shared" si="26"/>
        <v>0</v>
      </c>
      <c r="F60" s="632">
        <v>6</v>
      </c>
      <c r="G60" s="631">
        <v>2012</v>
      </c>
      <c r="H60" s="635">
        <f t="shared" si="18"/>
        <v>1206</v>
      </c>
      <c r="I60" s="661">
        <v>19.5</v>
      </c>
      <c r="J60" s="662">
        <v>16.5</v>
      </c>
      <c r="K60" s="658">
        <v>13.5</v>
      </c>
      <c r="M60" s="663">
        <f>K60</f>
        <v>13.5</v>
      </c>
      <c r="N60" s="663">
        <f>M60</f>
        <v>13.5</v>
      </c>
      <c r="O60" s="658"/>
      <c r="P60" s="658"/>
      <c r="Q60" s="658"/>
      <c r="R60" s="658"/>
      <c r="S60" s="658"/>
      <c r="W60" s="631">
        <v>8</v>
      </c>
      <c r="X60" s="631">
        <v>2016</v>
      </c>
      <c r="Y60" s="635">
        <f t="shared" si="16"/>
        <v>1608</v>
      </c>
      <c r="Z60" s="1">
        <v>22</v>
      </c>
      <c r="AA60" s="1"/>
      <c r="AI60" s="282">
        <v>43</v>
      </c>
      <c r="AJ60" s="43">
        <f t="shared" si="23"/>
        <v>0</v>
      </c>
      <c r="AK60" s="43">
        <f t="shared" si="25"/>
        <v>0</v>
      </c>
      <c r="AL60" s="50">
        <f>Solarstrom!$M$39/12*3*AM59</f>
        <v>0</v>
      </c>
      <c r="AM60" s="49">
        <f t="shared" si="24"/>
        <v>0</v>
      </c>
      <c r="AN60" s="47"/>
      <c r="AO60" s="282"/>
      <c r="AP60" s="282"/>
      <c r="AQ60" s="308"/>
      <c r="AR60" s="308"/>
      <c r="CD60" s="308"/>
    </row>
    <row r="61" spans="4:82" ht="15.75">
      <c r="E61" s="631">
        <f>SUM(E62:E86)</f>
        <v>0</v>
      </c>
      <c r="H61" s="635" t="str">
        <f>IF(AND($H$10&gt;H60,$H$10&lt;H88),"Überschrift","")</f>
        <v/>
      </c>
      <c r="I61" s="641">
        <v>10</v>
      </c>
      <c r="J61" s="642">
        <v>10</v>
      </c>
      <c r="K61" s="642">
        <v>40</v>
      </c>
      <c r="L61" s="642">
        <v>1000</v>
      </c>
      <c r="M61" s="660">
        <v>10000</v>
      </c>
      <c r="N61" s="660">
        <v>10000</v>
      </c>
      <c r="O61" s="658"/>
      <c r="P61" s="658"/>
      <c r="Q61" s="658"/>
      <c r="R61" s="658"/>
      <c r="S61" s="658"/>
      <c r="W61" s="631">
        <v>9</v>
      </c>
      <c r="X61" s="631">
        <v>2016</v>
      </c>
      <c r="Y61" s="635">
        <f t="shared" si="16"/>
        <v>1609</v>
      </c>
      <c r="Z61" s="1">
        <v>22</v>
      </c>
      <c r="AA61" s="1"/>
      <c r="AI61" s="282">
        <v>44</v>
      </c>
      <c r="AJ61" s="43">
        <f t="shared" si="23"/>
        <v>0</v>
      </c>
      <c r="AK61" s="43">
        <f t="shared" si="25"/>
        <v>0</v>
      </c>
      <c r="AL61" s="50">
        <f>Solarstrom!$M$39/12*3*AM60</f>
        <v>0</v>
      </c>
      <c r="AM61" s="49">
        <f t="shared" si="24"/>
        <v>0</v>
      </c>
      <c r="AN61" s="47">
        <f>SUM(AJ58:AJ61)</f>
        <v>0</v>
      </c>
      <c r="AO61" s="43">
        <f>SUM(AK58:AK61)</f>
        <v>0</v>
      </c>
      <c r="AP61" s="43">
        <f>SUM(AL58:AL61)</f>
        <v>0</v>
      </c>
      <c r="AQ61" s="403"/>
      <c r="AR61" s="403"/>
      <c r="CD61" s="308"/>
    </row>
    <row r="62" spans="4:82" ht="15.75">
      <c r="D62" s="644">
        <f>1-(I62/I60)</f>
        <v>2.9743589743589705E-2</v>
      </c>
      <c r="E62" s="631">
        <f t="shared" si="26"/>
        <v>0</v>
      </c>
      <c r="F62" s="632">
        <v>7</v>
      </c>
      <c r="G62" s="631">
        <v>2012</v>
      </c>
      <c r="H62" s="635">
        <f t="shared" si="18"/>
        <v>1207</v>
      </c>
      <c r="I62" s="658">
        <v>18.920000000000002</v>
      </c>
      <c r="J62" s="662">
        <v>17.95</v>
      </c>
      <c r="K62" s="662">
        <v>16.010000000000002</v>
      </c>
      <c r="L62" s="658">
        <v>13.1</v>
      </c>
      <c r="M62" s="663">
        <v>13.1</v>
      </c>
      <c r="N62" s="663">
        <v>13.1</v>
      </c>
      <c r="O62" s="658"/>
      <c r="P62" s="658"/>
      <c r="Q62" s="658"/>
      <c r="R62" s="658"/>
      <c r="S62" s="658"/>
      <c r="W62" s="631">
        <v>10</v>
      </c>
      <c r="X62" s="631">
        <v>2016</v>
      </c>
      <c r="Y62" s="635">
        <f t="shared" si="16"/>
        <v>1610</v>
      </c>
      <c r="Z62" s="1">
        <v>22</v>
      </c>
      <c r="AA62" s="1"/>
      <c r="AI62" s="282">
        <v>45</v>
      </c>
      <c r="AJ62" s="43">
        <f t="shared" ref="AJ62:AJ117" si="27">IF(AM61&lt;=0.000001,0,$AJ$15)</f>
        <v>0</v>
      </c>
      <c r="AK62" s="43">
        <f t="shared" si="25"/>
        <v>0</v>
      </c>
      <c r="AL62" s="50">
        <f>Solarstrom!$M$39/12*3*AM61</f>
        <v>0</v>
      </c>
      <c r="AM62" s="49">
        <f t="shared" si="24"/>
        <v>0</v>
      </c>
      <c r="AN62" s="47"/>
      <c r="AO62" s="282"/>
      <c r="AP62" s="282"/>
      <c r="AQ62" s="308"/>
      <c r="AR62" s="308"/>
      <c r="CD62" s="308"/>
    </row>
    <row r="63" spans="4:82" ht="15.75">
      <c r="D63" s="664">
        <f>1-(I63/I62)</f>
        <v>1.004228329809731E-2</v>
      </c>
      <c r="E63" s="631">
        <f t="shared" si="26"/>
        <v>0</v>
      </c>
      <c r="F63" s="632">
        <v>8</v>
      </c>
      <c r="G63" s="631">
        <v>2012</v>
      </c>
      <c r="H63" s="635">
        <f t="shared" si="18"/>
        <v>1208</v>
      </c>
      <c r="I63" s="658">
        <v>18.73</v>
      </c>
      <c r="J63" s="662">
        <v>17.77</v>
      </c>
      <c r="K63" s="662">
        <v>15.85</v>
      </c>
      <c r="L63" s="658">
        <v>12.97</v>
      </c>
      <c r="M63" s="663">
        <v>12.97</v>
      </c>
      <c r="N63" s="663">
        <v>12.97</v>
      </c>
      <c r="O63" s="658"/>
      <c r="P63" s="658"/>
      <c r="Q63" s="658"/>
      <c r="R63" s="658"/>
      <c r="S63" s="658"/>
      <c r="W63" s="631">
        <v>11</v>
      </c>
      <c r="X63" s="631">
        <v>2016</v>
      </c>
      <c r="Y63" s="635">
        <f t="shared" si="16"/>
        <v>1611</v>
      </c>
      <c r="Z63" s="1">
        <v>22</v>
      </c>
      <c r="AA63" s="1"/>
      <c r="AI63" s="282">
        <v>46</v>
      </c>
      <c r="AJ63" s="43">
        <f t="shared" si="27"/>
        <v>0</v>
      </c>
      <c r="AK63" s="43">
        <f t="shared" si="25"/>
        <v>0</v>
      </c>
      <c r="AL63" s="50">
        <f>Solarstrom!$M$39/12*3*AM62</f>
        <v>0</v>
      </c>
      <c r="AM63" s="49">
        <f t="shared" si="24"/>
        <v>0</v>
      </c>
      <c r="AN63" s="47"/>
      <c r="AO63" s="282"/>
      <c r="AP63" s="282"/>
      <c r="AQ63" s="403"/>
      <c r="AR63" s="403"/>
      <c r="CD63" s="308"/>
    </row>
    <row r="64" spans="4:82" ht="15.75">
      <c r="D64" s="664">
        <f>1-(I64/I63)</f>
        <v>1.0144153764015007E-2</v>
      </c>
      <c r="E64" s="631">
        <f t="shared" si="26"/>
        <v>0</v>
      </c>
      <c r="F64" s="632">
        <v>9</v>
      </c>
      <c r="G64" s="631">
        <v>2012</v>
      </c>
      <c r="H64" s="635">
        <f t="shared" si="18"/>
        <v>1209</v>
      </c>
      <c r="I64" s="658">
        <v>18.54</v>
      </c>
      <c r="J64" s="662">
        <v>17.59</v>
      </c>
      <c r="K64" s="662">
        <v>15.69</v>
      </c>
      <c r="L64" s="658">
        <v>12.85</v>
      </c>
      <c r="M64" s="663">
        <v>12.85</v>
      </c>
      <c r="N64" s="663">
        <v>12.85</v>
      </c>
      <c r="O64" s="658"/>
      <c r="P64" s="658"/>
      <c r="Q64" s="658"/>
      <c r="R64" s="658"/>
      <c r="S64" s="658"/>
      <c r="W64" s="631">
        <v>12</v>
      </c>
      <c r="X64" s="631">
        <v>2016</v>
      </c>
      <c r="Y64" s="635">
        <f t="shared" si="16"/>
        <v>1612</v>
      </c>
      <c r="Z64" s="1">
        <v>22</v>
      </c>
      <c r="AA64" s="1"/>
      <c r="AI64" s="282">
        <v>47</v>
      </c>
      <c r="AJ64" s="43">
        <f t="shared" si="27"/>
        <v>0</v>
      </c>
      <c r="AK64" s="43">
        <f t="shared" si="25"/>
        <v>0</v>
      </c>
      <c r="AL64" s="50">
        <f>Solarstrom!$M$39/12*3*AM63</f>
        <v>0</v>
      </c>
      <c r="AM64" s="49">
        <f t="shared" si="24"/>
        <v>0</v>
      </c>
      <c r="AN64" s="47"/>
      <c r="AO64" s="282"/>
      <c r="AP64" s="282"/>
      <c r="AQ64" s="308"/>
      <c r="AR64" s="308"/>
      <c r="CD64" s="308"/>
    </row>
    <row r="65" spans="4:82" ht="15.75">
      <c r="D65" s="664">
        <f>1-(I65/I64)</f>
        <v>9.7087378640776656E-3</v>
      </c>
      <c r="E65" s="631">
        <f t="shared" si="26"/>
        <v>0</v>
      </c>
      <c r="F65" s="632">
        <v>10</v>
      </c>
      <c r="G65" s="631">
        <v>2012</v>
      </c>
      <c r="H65" s="635">
        <f t="shared" si="18"/>
        <v>1210</v>
      </c>
      <c r="I65" s="658">
        <v>18.36</v>
      </c>
      <c r="J65" s="662">
        <v>17.420000000000002</v>
      </c>
      <c r="K65" s="662">
        <v>15.53</v>
      </c>
      <c r="L65" s="658">
        <v>12.71</v>
      </c>
      <c r="M65" s="663">
        <v>12.71</v>
      </c>
      <c r="N65" s="663">
        <v>12.71</v>
      </c>
      <c r="O65" s="658"/>
      <c r="P65" s="658"/>
      <c r="Q65" s="658"/>
      <c r="R65" s="658"/>
      <c r="S65" s="658"/>
      <c r="W65" s="631">
        <v>1</v>
      </c>
      <c r="X65" s="631">
        <v>2017</v>
      </c>
      <c r="Y65" s="635">
        <f t="shared" si="16"/>
        <v>1701</v>
      </c>
      <c r="Z65" s="1">
        <v>19</v>
      </c>
      <c r="AA65" s="1"/>
      <c r="AI65" s="282">
        <v>48</v>
      </c>
      <c r="AJ65" s="43">
        <f t="shared" si="27"/>
        <v>0</v>
      </c>
      <c r="AK65" s="43">
        <f t="shared" si="25"/>
        <v>0</v>
      </c>
      <c r="AL65" s="50">
        <f>Solarstrom!$M$39/12*3*AM64</f>
        <v>0</v>
      </c>
      <c r="AM65" s="49">
        <f t="shared" si="24"/>
        <v>0</v>
      </c>
      <c r="AN65" s="47">
        <f>SUM(AJ62:AJ65)</f>
        <v>0</v>
      </c>
      <c r="AO65" s="43">
        <f>SUM(AK62:AK65)</f>
        <v>0</v>
      </c>
      <c r="AP65" s="43">
        <f>SUM(AL62:AL65)</f>
        <v>0</v>
      </c>
      <c r="AQ65" s="403"/>
      <c r="AR65" s="403"/>
      <c r="CD65" s="308"/>
    </row>
    <row r="66" spans="4:82" ht="15.75">
      <c r="D66" s="664">
        <f>1-(I66/I65)</f>
        <v>2.5054466230936878E-2</v>
      </c>
      <c r="E66" s="631">
        <f t="shared" si="26"/>
        <v>0</v>
      </c>
      <c r="F66" s="632">
        <v>11</v>
      </c>
      <c r="G66" s="631">
        <v>2012</v>
      </c>
      <c r="H66" s="635">
        <f t="shared" si="18"/>
        <v>1211</v>
      </c>
      <c r="I66" s="658">
        <v>17.899999999999999</v>
      </c>
      <c r="J66" s="662">
        <v>16.98</v>
      </c>
      <c r="K66" s="662">
        <v>15.15</v>
      </c>
      <c r="L66" s="658">
        <v>12.39</v>
      </c>
      <c r="M66" s="663">
        <v>12.39</v>
      </c>
      <c r="N66" s="663">
        <v>12.39</v>
      </c>
      <c r="O66" s="658"/>
      <c r="P66" s="658"/>
      <c r="Q66" s="658"/>
      <c r="R66" s="658"/>
      <c r="S66" s="658"/>
      <c r="W66" s="631">
        <v>2</v>
      </c>
      <c r="X66" s="631">
        <v>2017</v>
      </c>
      <c r="Y66" s="635">
        <f t="shared" si="16"/>
        <v>1702</v>
      </c>
      <c r="Z66" s="1">
        <v>19</v>
      </c>
      <c r="AA66" s="1"/>
      <c r="AI66" s="282">
        <v>49</v>
      </c>
      <c r="AJ66" s="43">
        <f t="shared" si="27"/>
        <v>0</v>
      </c>
      <c r="AK66" s="43">
        <f t="shared" si="25"/>
        <v>0</v>
      </c>
      <c r="AL66" s="50">
        <f>Solarstrom!$M$39/12*3*AM65</f>
        <v>0</v>
      </c>
      <c r="AM66" s="49">
        <f t="shared" si="24"/>
        <v>0</v>
      </c>
      <c r="AN66" s="47"/>
      <c r="AO66" s="282"/>
      <c r="AP66" s="282"/>
      <c r="AQ66" s="186"/>
      <c r="AR66" s="308"/>
      <c r="CD66" s="308"/>
    </row>
    <row r="67" spans="4:82" ht="15.75">
      <c r="D67" s="664">
        <f>1-(I67/I66)</f>
        <v>2.5139664804469275E-2</v>
      </c>
      <c r="E67" s="631">
        <f t="shared" si="26"/>
        <v>0</v>
      </c>
      <c r="F67" s="632">
        <v>12</v>
      </c>
      <c r="G67" s="631">
        <v>2012</v>
      </c>
      <c r="H67" s="635">
        <f t="shared" si="18"/>
        <v>1212</v>
      </c>
      <c r="I67" s="658">
        <v>17.45</v>
      </c>
      <c r="J67" s="662">
        <v>16.559999999999999</v>
      </c>
      <c r="K67" s="662">
        <v>14.77</v>
      </c>
      <c r="L67" s="658">
        <v>12.08</v>
      </c>
      <c r="M67" s="663">
        <v>12.08</v>
      </c>
      <c r="N67" s="663">
        <v>12.08</v>
      </c>
      <c r="O67" s="658"/>
      <c r="P67" s="658"/>
      <c r="Q67" s="658"/>
      <c r="R67" s="658"/>
      <c r="S67" s="658"/>
      <c r="W67" s="631">
        <v>3</v>
      </c>
      <c r="X67" s="631">
        <v>2017</v>
      </c>
      <c r="Y67" s="635">
        <f t="shared" si="16"/>
        <v>1703</v>
      </c>
      <c r="Z67" s="1">
        <v>19</v>
      </c>
      <c r="AA67" s="1"/>
      <c r="AI67" s="282">
        <v>50</v>
      </c>
      <c r="AJ67" s="43">
        <f t="shared" si="27"/>
        <v>0</v>
      </c>
      <c r="AK67" s="43">
        <f t="shared" si="25"/>
        <v>0</v>
      </c>
      <c r="AL67" s="50">
        <f>Solarstrom!$M$39/12*3*AM66</f>
        <v>0</v>
      </c>
      <c r="AM67" s="49">
        <f t="shared" si="24"/>
        <v>0</v>
      </c>
      <c r="AN67" s="47"/>
      <c r="AO67" s="282"/>
      <c r="AP67" s="282"/>
      <c r="AQ67" s="10"/>
      <c r="AR67" s="10"/>
      <c r="CD67" s="308"/>
    </row>
    <row r="68" spans="4:82" ht="15.75">
      <c r="D68" s="664">
        <f t="shared" ref="D68:D86" si="28">1-(I68/I67)</f>
        <v>2.4641833810888247E-2</v>
      </c>
      <c r="E68" s="631">
        <f t="shared" si="26"/>
        <v>0</v>
      </c>
      <c r="F68" s="632">
        <v>1</v>
      </c>
      <c r="G68" s="631">
        <v>2013</v>
      </c>
      <c r="H68" s="635">
        <f t="shared" si="18"/>
        <v>1301</v>
      </c>
      <c r="I68" s="658">
        <v>17.02</v>
      </c>
      <c r="J68" s="662">
        <v>16.14</v>
      </c>
      <c r="K68" s="662">
        <v>14.4</v>
      </c>
      <c r="L68" s="658">
        <v>11.78</v>
      </c>
      <c r="M68" s="663">
        <v>11.78</v>
      </c>
      <c r="N68" s="663">
        <v>11.78</v>
      </c>
      <c r="O68" s="658"/>
      <c r="P68" s="658"/>
      <c r="Q68" s="658"/>
      <c r="R68" s="658"/>
      <c r="S68" s="658"/>
      <c r="W68" s="631">
        <v>4</v>
      </c>
      <c r="X68" s="631">
        <v>2017</v>
      </c>
      <c r="Y68" s="635">
        <f t="shared" si="16"/>
        <v>1704</v>
      </c>
      <c r="Z68" s="1">
        <v>19</v>
      </c>
      <c r="AA68" s="1"/>
      <c r="AI68" s="282">
        <v>51</v>
      </c>
      <c r="AJ68" s="43">
        <f t="shared" si="27"/>
        <v>0</v>
      </c>
      <c r="AK68" s="43">
        <f t="shared" si="25"/>
        <v>0</v>
      </c>
      <c r="AL68" s="50">
        <f>Solarstrom!$M$39/12*3*AM67</f>
        <v>0</v>
      </c>
      <c r="AM68" s="49">
        <f t="shared" si="24"/>
        <v>0</v>
      </c>
      <c r="AN68" s="47"/>
      <c r="AO68" s="282"/>
      <c r="AP68" s="282"/>
      <c r="AQ68" s="308"/>
      <c r="AR68" s="308"/>
      <c r="CD68" s="282"/>
    </row>
    <row r="69" spans="4:82" ht="15.75">
      <c r="D69" s="664">
        <f t="shared" si="28"/>
        <v>2.2326674500587451E-2</v>
      </c>
      <c r="E69" s="631">
        <f t="shared" si="26"/>
        <v>0</v>
      </c>
      <c r="F69" s="632">
        <v>2</v>
      </c>
      <c r="G69" s="631">
        <v>2013</v>
      </c>
      <c r="H69" s="635">
        <f t="shared" si="18"/>
        <v>1302</v>
      </c>
      <c r="I69" s="658">
        <v>16.64</v>
      </c>
      <c r="J69" s="662">
        <v>15.79</v>
      </c>
      <c r="K69" s="662">
        <v>14.08</v>
      </c>
      <c r="L69" s="658">
        <v>11.52</v>
      </c>
      <c r="M69" s="663">
        <v>11.52</v>
      </c>
      <c r="N69" s="663">
        <v>11.52</v>
      </c>
      <c r="O69" s="658"/>
      <c r="P69" s="658"/>
      <c r="Q69" s="658"/>
      <c r="R69" s="658"/>
      <c r="S69" s="658"/>
      <c r="W69" s="631">
        <v>5</v>
      </c>
      <c r="X69" s="631">
        <v>2017</v>
      </c>
      <c r="Y69" s="635">
        <f t="shared" si="16"/>
        <v>1705</v>
      </c>
      <c r="Z69" s="1">
        <v>19</v>
      </c>
      <c r="AA69" s="1"/>
      <c r="AI69" s="282">
        <v>52</v>
      </c>
      <c r="AJ69" s="43">
        <f t="shared" si="27"/>
        <v>0</v>
      </c>
      <c r="AK69" s="43">
        <f t="shared" si="25"/>
        <v>0</v>
      </c>
      <c r="AL69" s="50">
        <f>Solarstrom!$M$39/12*3*AM68</f>
        <v>0</v>
      </c>
      <c r="AM69" s="49">
        <f t="shared" si="24"/>
        <v>0</v>
      </c>
      <c r="AN69" s="47">
        <f>SUM(AJ66:AJ69)</f>
        <v>0</v>
      </c>
      <c r="AO69" s="282">
        <f>SUM(AK66:AK69)</f>
        <v>0</v>
      </c>
      <c r="AP69" s="43">
        <f>SUM(AL66:AL69)</f>
        <v>0</v>
      </c>
      <c r="AQ69" s="308"/>
      <c r="AR69" s="308"/>
      <c r="CD69" s="282"/>
    </row>
    <row r="70" spans="4:82" ht="15.75">
      <c r="D70" s="664">
        <f t="shared" si="28"/>
        <v>2.1634615384615308E-2</v>
      </c>
      <c r="E70" s="631">
        <f t="shared" si="26"/>
        <v>0</v>
      </c>
      <c r="F70" s="632">
        <v>3</v>
      </c>
      <c r="G70" s="631">
        <v>2013</v>
      </c>
      <c r="H70" s="635">
        <f t="shared" si="18"/>
        <v>1303</v>
      </c>
      <c r="I70" s="658">
        <v>16.28</v>
      </c>
      <c r="J70" s="662">
        <v>15.44</v>
      </c>
      <c r="K70" s="662">
        <v>13.77</v>
      </c>
      <c r="L70" s="658">
        <v>11.27</v>
      </c>
      <c r="M70" s="663">
        <v>11.27</v>
      </c>
      <c r="N70" s="663">
        <v>11.27</v>
      </c>
      <c r="O70" s="658"/>
      <c r="P70" s="658"/>
      <c r="Q70" s="658"/>
      <c r="R70" s="658"/>
      <c r="S70" s="658"/>
      <c r="W70" s="631">
        <v>6</v>
      </c>
      <c r="X70" s="631">
        <v>2017</v>
      </c>
      <c r="Y70" s="635">
        <f t="shared" si="16"/>
        <v>1706</v>
      </c>
      <c r="Z70" s="1">
        <v>19</v>
      </c>
      <c r="AA70" s="1"/>
      <c r="AI70" s="282">
        <v>53</v>
      </c>
      <c r="AJ70" s="43">
        <f t="shared" si="27"/>
        <v>0</v>
      </c>
      <c r="AK70" s="43">
        <f t="shared" si="25"/>
        <v>0</v>
      </c>
      <c r="AL70" s="50">
        <f>Solarstrom!$M$39/12*3*AM69</f>
        <v>0</v>
      </c>
      <c r="AM70" s="49">
        <f t="shared" si="24"/>
        <v>0</v>
      </c>
      <c r="AN70" s="47"/>
      <c r="AO70" s="282"/>
      <c r="AP70" s="282"/>
      <c r="CD70" s="282"/>
    </row>
    <row r="71" spans="4:82" ht="15.75">
      <c r="D71" s="664">
        <f t="shared" si="28"/>
        <v>2.211302211302224E-2</v>
      </c>
      <c r="E71" s="631">
        <f t="shared" si="26"/>
        <v>0</v>
      </c>
      <c r="F71" s="632">
        <v>4</v>
      </c>
      <c r="G71" s="631">
        <v>2013</v>
      </c>
      <c r="H71" s="635">
        <f t="shared" si="18"/>
        <v>1304</v>
      </c>
      <c r="I71" s="658">
        <v>15.92</v>
      </c>
      <c r="J71" s="662">
        <v>15.1</v>
      </c>
      <c r="K71" s="662">
        <v>13.47</v>
      </c>
      <c r="L71" s="658">
        <v>11.02</v>
      </c>
      <c r="M71" s="663">
        <v>11.02</v>
      </c>
      <c r="N71" s="663">
        <v>11.02</v>
      </c>
      <c r="O71" s="658"/>
      <c r="P71" s="658"/>
      <c r="Q71" s="658"/>
      <c r="R71" s="658"/>
      <c r="S71" s="658"/>
      <c r="W71" s="631">
        <v>7</v>
      </c>
      <c r="X71" s="631">
        <v>2017</v>
      </c>
      <c r="Y71" s="635">
        <f t="shared" si="16"/>
        <v>1707</v>
      </c>
      <c r="Z71" s="1">
        <v>16</v>
      </c>
      <c r="AA71" s="1"/>
      <c r="AI71" s="282">
        <v>54</v>
      </c>
      <c r="AJ71" s="43">
        <f t="shared" si="27"/>
        <v>0</v>
      </c>
      <c r="AK71" s="43">
        <f t="shared" si="25"/>
        <v>0</v>
      </c>
      <c r="AL71" s="50">
        <f>Solarstrom!$M$39/12*3*AM70</f>
        <v>0</v>
      </c>
      <c r="AM71" s="49">
        <f t="shared" si="24"/>
        <v>0</v>
      </c>
      <c r="AN71" s="47"/>
      <c r="AO71" s="282"/>
      <c r="AP71" s="282"/>
      <c r="CD71" s="282"/>
    </row>
    <row r="72" spans="4:82" ht="15.75">
      <c r="D72" s="664">
        <f t="shared" si="28"/>
        <v>1.8216080402009949E-2</v>
      </c>
      <c r="E72" s="631">
        <f t="shared" si="26"/>
        <v>0</v>
      </c>
      <c r="F72" s="632">
        <v>5</v>
      </c>
      <c r="G72" s="631">
        <v>2013</v>
      </c>
      <c r="H72" s="635">
        <f t="shared" si="18"/>
        <v>1305</v>
      </c>
      <c r="I72" s="658">
        <v>15.63</v>
      </c>
      <c r="J72" s="662">
        <v>14.83</v>
      </c>
      <c r="K72" s="662">
        <v>13.23</v>
      </c>
      <c r="L72" s="658">
        <v>10.82</v>
      </c>
      <c r="M72" s="663">
        <v>10.82</v>
      </c>
      <c r="N72" s="663">
        <v>10.82</v>
      </c>
      <c r="O72" s="658"/>
      <c r="P72" s="658"/>
      <c r="Q72" s="658"/>
      <c r="R72" s="658"/>
      <c r="S72" s="658"/>
      <c r="W72" s="631">
        <v>8</v>
      </c>
      <c r="X72" s="631">
        <v>2017</v>
      </c>
      <c r="Y72" s="635">
        <f t="shared" si="16"/>
        <v>1708</v>
      </c>
      <c r="Z72" s="1">
        <v>16</v>
      </c>
      <c r="AA72" s="1"/>
      <c r="AI72" s="282">
        <v>55</v>
      </c>
      <c r="AJ72" s="43">
        <f t="shared" si="27"/>
        <v>0</v>
      </c>
      <c r="AK72" s="43">
        <f t="shared" si="25"/>
        <v>0</v>
      </c>
      <c r="AL72" s="50">
        <f>Solarstrom!$M$39/12*3*AM71</f>
        <v>0</v>
      </c>
      <c r="AM72" s="49">
        <f t="shared" si="24"/>
        <v>0</v>
      </c>
      <c r="AN72" s="47"/>
      <c r="AO72" s="282"/>
      <c r="AP72" s="282"/>
      <c r="CD72" s="282"/>
    </row>
    <row r="73" spans="4:82" ht="15.75">
      <c r="D73" s="664">
        <f t="shared" si="28"/>
        <v>1.7914267434421038E-2</v>
      </c>
      <c r="E73" s="631">
        <f t="shared" si="26"/>
        <v>0</v>
      </c>
      <c r="F73" s="632">
        <v>6</v>
      </c>
      <c r="G73" s="631">
        <v>2013</v>
      </c>
      <c r="H73" s="635">
        <f t="shared" si="18"/>
        <v>1306</v>
      </c>
      <c r="I73" s="658">
        <v>15.35</v>
      </c>
      <c r="J73" s="662">
        <v>14.56</v>
      </c>
      <c r="K73" s="662">
        <v>12.99</v>
      </c>
      <c r="L73" s="658">
        <v>10.63</v>
      </c>
      <c r="M73" s="663">
        <v>10.63</v>
      </c>
      <c r="N73" s="663">
        <v>10.63</v>
      </c>
      <c r="O73" s="658"/>
      <c r="P73" s="658"/>
      <c r="Q73" s="658"/>
      <c r="R73" s="658"/>
      <c r="S73" s="658"/>
      <c r="W73" s="631">
        <v>9</v>
      </c>
      <c r="X73" s="631">
        <v>2017</v>
      </c>
      <c r="Y73" s="635">
        <f t="shared" si="16"/>
        <v>1709</v>
      </c>
      <c r="Z73" s="1">
        <v>16</v>
      </c>
      <c r="AA73" s="1"/>
      <c r="AI73" s="282">
        <v>56</v>
      </c>
      <c r="AJ73" s="43">
        <f t="shared" si="27"/>
        <v>0</v>
      </c>
      <c r="AK73" s="43">
        <f t="shared" si="25"/>
        <v>0</v>
      </c>
      <c r="AL73" s="50">
        <f>Solarstrom!$M$39/12*3*AM72</f>
        <v>0</v>
      </c>
      <c r="AM73" s="49">
        <f t="shared" si="24"/>
        <v>0</v>
      </c>
      <c r="AN73" s="47">
        <f>SUM(AJ70:AJ73)</f>
        <v>0</v>
      </c>
      <c r="AO73" s="43">
        <f>SUM(AK70:AK73)</f>
        <v>0</v>
      </c>
      <c r="AP73" s="43">
        <f>SUM(AL70:AL73)</f>
        <v>0</v>
      </c>
      <c r="CD73" s="282"/>
    </row>
    <row r="74" spans="4:82" ht="15.75">
      <c r="D74" s="664">
        <f t="shared" si="28"/>
        <v>1.8241042345276792E-2</v>
      </c>
      <c r="E74" s="631">
        <f t="shared" si="26"/>
        <v>0</v>
      </c>
      <c r="F74" s="632">
        <v>7</v>
      </c>
      <c r="G74" s="631">
        <v>2013</v>
      </c>
      <c r="H74" s="635">
        <f t="shared" si="18"/>
        <v>1307</v>
      </c>
      <c r="I74" s="658">
        <v>15.07</v>
      </c>
      <c r="J74" s="662">
        <v>14.3</v>
      </c>
      <c r="K74" s="662">
        <v>12.75</v>
      </c>
      <c r="L74" s="658">
        <v>10.220000000000001</v>
      </c>
      <c r="M74" s="663">
        <v>10.220000000000001</v>
      </c>
      <c r="N74" s="663">
        <v>10.220000000000001</v>
      </c>
      <c r="O74" s="658"/>
      <c r="P74" s="658"/>
      <c r="Q74" s="658"/>
      <c r="R74" s="658"/>
      <c r="S74" s="658"/>
      <c r="W74" s="631">
        <v>10</v>
      </c>
      <c r="X74" s="631">
        <v>2017</v>
      </c>
      <c r="Y74" s="635">
        <f t="shared" si="16"/>
        <v>1710</v>
      </c>
      <c r="Z74" s="1">
        <v>16</v>
      </c>
      <c r="AA74" s="1"/>
      <c r="AI74" s="282">
        <v>57</v>
      </c>
      <c r="AJ74" s="43">
        <f t="shared" si="27"/>
        <v>0</v>
      </c>
      <c r="AK74" s="43">
        <f t="shared" si="25"/>
        <v>0</v>
      </c>
      <c r="AL74" s="50">
        <f>Solarstrom!$M$39/12*3*AM73</f>
        <v>0</v>
      </c>
      <c r="AM74" s="49">
        <f t="shared" si="24"/>
        <v>0</v>
      </c>
      <c r="AN74" s="47"/>
      <c r="AO74" s="282"/>
      <c r="AP74" s="282"/>
      <c r="CD74" s="282"/>
    </row>
    <row r="75" spans="4:82" ht="15.75">
      <c r="D75" s="664">
        <f t="shared" si="28"/>
        <v>1.791639017916391E-2</v>
      </c>
      <c r="E75" s="631">
        <f t="shared" si="26"/>
        <v>0</v>
      </c>
      <c r="F75" s="632">
        <v>8</v>
      </c>
      <c r="G75" s="631">
        <v>2013</v>
      </c>
      <c r="H75" s="635">
        <f t="shared" si="18"/>
        <v>1308</v>
      </c>
      <c r="I75" s="658">
        <v>14.8</v>
      </c>
      <c r="J75" s="662">
        <v>14.04</v>
      </c>
      <c r="K75" s="662">
        <v>12.52</v>
      </c>
      <c r="L75" s="658">
        <v>10.25</v>
      </c>
      <c r="M75" s="663">
        <v>10.25</v>
      </c>
      <c r="N75" s="663">
        <v>10.25</v>
      </c>
      <c r="O75" s="658"/>
      <c r="P75" s="658"/>
      <c r="Q75" s="658"/>
      <c r="R75" s="658"/>
      <c r="S75" s="658"/>
      <c r="W75" s="631">
        <v>11</v>
      </c>
      <c r="X75" s="631">
        <v>2017</v>
      </c>
      <c r="Y75" s="635">
        <f t="shared" si="16"/>
        <v>1711</v>
      </c>
      <c r="Z75" s="1">
        <v>16</v>
      </c>
      <c r="AA75" s="1"/>
      <c r="AI75" s="282">
        <v>58</v>
      </c>
      <c r="AJ75" s="43">
        <f t="shared" si="27"/>
        <v>0</v>
      </c>
      <c r="AK75" s="43">
        <f t="shared" si="25"/>
        <v>0</v>
      </c>
      <c r="AL75" s="50">
        <f>Solarstrom!$M$39/12*3*AM74</f>
        <v>0</v>
      </c>
      <c r="AM75" s="49">
        <f t="shared" si="24"/>
        <v>0</v>
      </c>
      <c r="AN75" s="47"/>
      <c r="AO75" s="282"/>
      <c r="AP75" s="282"/>
      <c r="CD75" s="282"/>
    </row>
    <row r="76" spans="4:82" ht="15.75">
      <c r="D76" s="664">
        <f t="shared" si="28"/>
        <v>1.7567567567567721E-2</v>
      </c>
      <c r="E76" s="631">
        <f t="shared" si="26"/>
        <v>0</v>
      </c>
      <c r="F76" s="632">
        <v>9</v>
      </c>
      <c r="G76" s="631">
        <v>2013</v>
      </c>
      <c r="H76" s="635">
        <f t="shared" si="18"/>
        <v>1309</v>
      </c>
      <c r="I76" s="658">
        <v>14.54</v>
      </c>
      <c r="J76" s="662">
        <v>13.79</v>
      </c>
      <c r="K76" s="662">
        <v>12.3</v>
      </c>
      <c r="L76" s="658">
        <v>10.06</v>
      </c>
      <c r="M76" s="663">
        <v>10.06</v>
      </c>
      <c r="N76" s="663">
        <v>10.06</v>
      </c>
      <c r="O76" s="658"/>
      <c r="P76" s="658"/>
      <c r="Q76" s="658"/>
      <c r="R76" s="658"/>
      <c r="S76" s="658"/>
      <c r="W76" s="631">
        <v>12</v>
      </c>
      <c r="X76" s="631">
        <v>2017</v>
      </c>
      <c r="Y76" s="635">
        <f t="shared" si="16"/>
        <v>1712</v>
      </c>
      <c r="Z76" s="1">
        <v>16</v>
      </c>
      <c r="AA76" s="1"/>
      <c r="AI76" s="282">
        <v>59</v>
      </c>
      <c r="AJ76" s="43">
        <f t="shared" si="27"/>
        <v>0</v>
      </c>
      <c r="AK76" s="43">
        <f t="shared" si="25"/>
        <v>0</v>
      </c>
      <c r="AL76" s="50">
        <f>Solarstrom!$M$39/12*3*AM75</f>
        <v>0</v>
      </c>
      <c r="AM76" s="49">
        <f t="shared" si="24"/>
        <v>0</v>
      </c>
      <c r="AN76" s="47"/>
      <c r="AO76" s="282"/>
      <c r="AP76" s="282"/>
    </row>
    <row r="77" spans="4:82" ht="15.75">
      <c r="D77" s="664">
        <f t="shared" si="28"/>
        <v>1.8569463548830822E-2</v>
      </c>
      <c r="E77" s="631">
        <f t="shared" si="26"/>
        <v>0</v>
      </c>
      <c r="F77" s="632">
        <v>10</v>
      </c>
      <c r="G77" s="631">
        <v>2013</v>
      </c>
      <c r="H77" s="635">
        <f t="shared" si="18"/>
        <v>1310</v>
      </c>
      <c r="I77" s="658">
        <v>14.27</v>
      </c>
      <c r="J77" s="662">
        <v>13.54</v>
      </c>
      <c r="K77" s="662">
        <v>12.08</v>
      </c>
      <c r="L77" s="658">
        <v>9.8800000000000008</v>
      </c>
      <c r="M77" s="663">
        <v>9.8800000000000008</v>
      </c>
      <c r="N77" s="663">
        <v>9.8800000000000008</v>
      </c>
      <c r="O77" s="658"/>
      <c r="P77" s="658"/>
      <c r="Q77" s="658"/>
      <c r="R77" s="658"/>
      <c r="S77" s="658"/>
      <c r="W77" s="631">
        <v>1</v>
      </c>
      <c r="X77" s="631">
        <v>2018</v>
      </c>
      <c r="Y77" s="635">
        <f t="shared" si="16"/>
        <v>1801</v>
      </c>
      <c r="Z77" s="1">
        <v>13</v>
      </c>
      <c r="AA77" s="1"/>
      <c r="AI77" s="282">
        <v>60</v>
      </c>
      <c r="AJ77" s="43">
        <f t="shared" si="27"/>
        <v>0</v>
      </c>
      <c r="AK77" s="43">
        <f t="shared" ref="AK77:AK82" si="29">AJ77-AL77</f>
        <v>0</v>
      </c>
      <c r="AL77" s="50">
        <f>Solarstrom!$M$39/12*3*AM76</f>
        <v>0</v>
      </c>
      <c r="AM77" s="49">
        <f t="shared" si="24"/>
        <v>0</v>
      </c>
      <c r="AN77" s="47">
        <f>SUM(AJ74:AJ77)</f>
        <v>0</v>
      </c>
      <c r="AO77" s="43">
        <f>SUM(AK74:AK77)</f>
        <v>0</v>
      </c>
      <c r="AP77" s="43">
        <f>SUM(AL74:AL77)</f>
        <v>0</v>
      </c>
    </row>
    <row r="78" spans="4:82" ht="15.75">
      <c r="D78" s="664">
        <f t="shared" si="28"/>
        <v>1.4015416958654492E-2</v>
      </c>
      <c r="E78" s="631">
        <f t="shared" si="26"/>
        <v>0</v>
      </c>
      <c r="F78" s="632">
        <v>11</v>
      </c>
      <c r="G78" s="631">
        <v>2013</v>
      </c>
      <c r="H78" s="635">
        <f t="shared" si="18"/>
        <v>1311</v>
      </c>
      <c r="I78" s="658">
        <v>14.07</v>
      </c>
      <c r="J78" s="662">
        <v>13.35</v>
      </c>
      <c r="K78" s="662">
        <v>11.91</v>
      </c>
      <c r="L78" s="658">
        <v>9.74</v>
      </c>
      <c r="M78" s="663">
        <v>9.74</v>
      </c>
      <c r="N78" s="663">
        <v>9.74</v>
      </c>
      <c r="O78" s="658"/>
      <c r="P78" s="658"/>
      <c r="Q78" s="658"/>
      <c r="R78" s="658"/>
      <c r="S78" s="658"/>
      <c r="W78" s="631">
        <v>2</v>
      </c>
      <c r="X78" s="631">
        <v>2018</v>
      </c>
      <c r="Y78" s="635">
        <f t="shared" si="16"/>
        <v>1802</v>
      </c>
      <c r="Z78" s="1">
        <v>13</v>
      </c>
      <c r="AA78" s="1"/>
      <c r="AI78" s="282">
        <v>61</v>
      </c>
      <c r="AJ78" s="43">
        <f t="shared" si="27"/>
        <v>0</v>
      </c>
      <c r="AK78" s="43">
        <f t="shared" si="29"/>
        <v>0</v>
      </c>
      <c r="AL78" s="50">
        <f>Solarstrom!$M$39/12*3*AM77</f>
        <v>0</v>
      </c>
      <c r="AM78" s="49">
        <f t="shared" si="24"/>
        <v>0</v>
      </c>
      <c r="AN78" s="47"/>
      <c r="AO78" s="282"/>
      <c r="AP78" s="282"/>
    </row>
    <row r="79" spans="4:82" ht="15.75">
      <c r="D79" s="664">
        <f t="shared" si="28"/>
        <v>1.3503909026297056E-2</v>
      </c>
      <c r="E79" s="631">
        <f t="shared" si="26"/>
        <v>0</v>
      </c>
      <c r="F79" s="632">
        <v>12</v>
      </c>
      <c r="G79" s="631">
        <v>2013</v>
      </c>
      <c r="H79" s="635">
        <f t="shared" si="18"/>
        <v>1312</v>
      </c>
      <c r="I79" s="658">
        <v>13.88</v>
      </c>
      <c r="J79" s="662">
        <v>13.17</v>
      </c>
      <c r="K79" s="662">
        <v>11.74</v>
      </c>
      <c r="L79" s="658">
        <v>9.61</v>
      </c>
      <c r="M79" s="663">
        <v>9.61</v>
      </c>
      <c r="N79" s="663">
        <v>9.61</v>
      </c>
      <c r="O79" s="658"/>
      <c r="P79" s="658"/>
      <c r="Q79" s="658"/>
      <c r="R79" s="658"/>
      <c r="S79" s="658"/>
      <c r="W79" s="631">
        <v>3</v>
      </c>
      <c r="X79" s="631">
        <v>2018</v>
      </c>
      <c r="Y79" s="635">
        <f t="shared" si="16"/>
        <v>1803</v>
      </c>
      <c r="Z79" s="1">
        <v>13</v>
      </c>
      <c r="AA79" s="1"/>
      <c r="AI79" s="282">
        <v>62</v>
      </c>
      <c r="AJ79" s="43">
        <f t="shared" si="27"/>
        <v>0</v>
      </c>
      <c r="AK79" s="43">
        <f t="shared" si="29"/>
        <v>0</v>
      </c>
      <c r="AL79" s="50">
        <f>Solarstrom!$M$39/12*3*AM78</f>
        <v>0</v>
      </c>
      <c r="AM79" s="49">
        <f t="shared" si="24"/>
        <v>0</v>
      </c>
      <c r="AN79" s="47"/>
      <c r="AO79" s="282"/>
      <c r="AP79" s="282"/>
    </row>
    <row r="80" spans="4:82" ht="15.75">
      <c r="D80" s="664">
        <f t="shared" si="28"/>
        <v>1.4409221902017322E-2</v>
      </c>
      <c r="E80" s="631">
        <f t="shared" si="26"/>
        <v>0</v>
      </c>
      <c r="F80" s="632">
        <v>1</v>
      </c>
      <c r="G80" s="631">
        <v>2014</v>
      </c>
      <c r="H80" s="635">
        <f t="shared" si="18"/>
        <v>1401</v>
      </c>
      <c r="I80" s="658">
        <v>13.68</v>
      </c>
      <c r="J80" s="662">
        <v>12.98</v>
      </c>
      <c r="K80" s="662">
        <v>11.58</v>
      </c>
      <c r="L80" s="658">
        <v>9.4700000000000006</v>
      </c>
      <c r="M80" s="663">
        <v>9.4700000000000006</v>
      </c>
      <c r="N80" s="663">
        <v>9.4700000000000006</v>
      </c>
      <c r="O80" s="658"/>
      <c r="P80" s="658"/>
      <c r="Q80" s="658"/>
      <c r="R80" s="658"/>
      <c r="S80" s="658"/>
      <c r="W80" s="631">
        <v>4</v>
      </c>
      <c r="X80" s="631">
        <v>2018</v>
      </c>
      <c r="Y80" s="635">
        <f t="shared" si="16"/>
        <v>1804</v>
      </c>
      <c r="Z80" s="1">
        <v>13</v>
      </c>
      <c r="AA80" s="1"/>
      <c r="AI80" s="282">
        <v>63</v>
      </c>
      <c r="AJ80" s="43">
        <f t="shared" si="27"/>
        <v>0</v>
      </c>
      <c r="AK80" s="43">
        <f t="shared" si="29"/>
        <v>0</v>
      </c>
      <c r="AL80" s="50">
        <f>Solarstrom!$M$39/12*3*AM79</f>
        <v>0</v>
      </c>
      <c r="AM80" s="49">
        <f t="shared" si="24"/>
        <v>0</v>
      </c>
      <c r="AN80" s="47"/>
      <c r="AO80" s="282"/>
      <c r="AP80" s="282"/>
    </row>
    <row r="81" spans="4:44" ht="15.75">
      <c r="D81" s="664">
        <f t="shared" si="28"/>
        <v>9.5029239766081242E-3</v>
      </c>
      <c r="E81" s="631">
        <f t="shared" si="26"/>
        <v>0</v>
      </c>
      <c r="F81" s="632">
        <v>2</v>
      </c>
      <c r="G81" s="631">
        <v>2014</v>
      </c>
      <c r="H81" s="635">
        <f t="shared" si="18"/>
        <v>1402</v>
      </c>
      <c r="I81" s="658">
        <v>13.55</v>
      </c>
      <c r="J81" s="662">
        <f>J80/1.01</f>
        <v>12.851485148514852</v>
      </c>
      <c r="K81" s="662">
        <v>11.46</v>
      </c>
      <c r="L81" s="658">
        <f>L80/1.01</f>
        <v>9.3762376237623766</v>
      </c>
      <c r="M81" s="663">
        <f>M80/1.01</f>
        <v>9.3762376237623766</v>
      </c>
      <c r="N81" s="663">
        <f>N80/1.01</f>
        <v>9.3762376237623766</v>
      </c>
      <c r="O81" s="658"/>
      <c r="P81" s="658"/>
      <c r="Q81" s="658"/>
      <c r="R81" s="658"/>
      <c r="S81" s="658"/>
      <c r="W81" s="631">
        <v>5</v>
      </c>
      <c r="X81" s="631">
        <v>2018</v>
      </c>
      <c r="Y81" s="635">
        <f t="shared" si="16"/>
        <v>1805</v>
      </c>
      <c r="Z81" s="1">
        <v>13</v>
      </c>
      <c r="AA81" s="1"/>
      <c r="AI81" s="282">
        <v>64</v>
      </c>
      <c r="AJ81" s="43">
        <f t="shared" si="27"/>
        <v>0</v>
      </c>
      <c r="AK81" s="43">
        <f t="shared" si="29"/>
        <v>0</v>
      </c>
      <c r="AL81" s="50">
        <f>Solarstrom!$M$39/12*3*AM80</f>
        <v>0</v>
      </c>
      <c r="AM81" s="49">
        <f t="shared" si="24"/>
        <v>0</v>
      </c>
      <c r="AN81" s="47">
        <f>SUM(AJ78:AJ81)</f>
        <v>0</v>
      </c>
      <c r="AO81" s="43">
        <f>SUM(AK78:AK81)</f>
        <v>0</v>
      </c>
      <c r="AP81" s="43">
        <f>SUM(AL78:AL81)</f>
        <v>0</v>
      </c>
    </row>
    <row r="82" spans="4:44" ht="15.75">
      <c r="D82" s="664">
        <f t="shared" si="28"/>
        <v>1.0332103321033292E-2</v>
      </c>
      <c r="E82" s="631">
        <f t="shared" si="26"/>
        <v>0</v>
      </c>
      <c r="F82" s="632">
        <v>3</v>
      </c>
      <c r="G82" s="631">
        <v>2014</v>
      </c>
      <c r="H82" s="635">
        <f t="shared" si="18"/>
        <v>1403</v>
      </c>
      <c r="I82" s="658">
        <v>13.41</v>
      </c>
      <c r="J82" s="662">
        <f>J81/1.01</f>
        <v>12.724242721301835</v>
      </c>
      <c r="K82" s="662">
        <f t="shared" ref="K82:L86" si="30">K81/1.01</f>
        <v>11.346534653465348</v>
      </c>
      <c r="L82" s="658">
        <f t="shared" si="30"/>
        <v>9.2834035878835408</v>
      </c>
      <c r="M82" s="663">
        <f t="shared" ref="M82:N86" si="31">M81/1.01</f>
        <v>9.2834035878835408</v>
      </c>
      <c r="N82" s="663">
        <f t="shared" si="31"/>
        <v>9.2834035878835408</v>
      </c>
      <c r="O82" s="658"/>
      <c r="P82" s="658"/>
      <c r="Q82" s="658"/>
      <c r="R82" s="658"/>
      <c r="S82" s="658"/>
      <c r="W82" s="631">
        <v>6</v>
      </c>
      <c r="X82" s="631">
        <v>2018</v>
      </c>
      <c r="Y82" s="635">
        <f t="shared" ref="Y82:Y88" si="32">RIGHT(X82,2)*100+W82</f>
        <v>1806</v>
      </c>
      <c r="Z82" s="1">
        <v>13</v>
      </c>
      <c r="AA82" s="1"/>
      <c r="AI82" s="282">
        <v>65</v>
      </c>
      <c r="AJ82" s="43">
        <f t="shared" si="27"/>
        <v>0</v>
      </c>
      <c r="AK82" s="43">
        <f t="shared" si="29"/>
        <v>0</v>
      </c>
      <c r="AL82" s="50">
        <f>Solarstrom!$M$39/12*3*AM81</f>
        <v>0</v>
      </c>
      <c r="AM82" s="49">
        <f t="shared" si="24"/>
        <v>0</v>
      </c>
      <c r="AN82" s="47"/>
      <c r="AO82" s="47"/>
      <c r="AP82" s="43"/>
    </row>
    <row r="83" spans="4:44" ht="15.75">
      <c r="D83" s="664">
        <f t="shared" si="28"/>
        <v>9.9009900990099098E-3</v>
      </c>
      <c r="E83" s="631">
        <f t="shared" si="26"/>
        <v>0</v>
      </c>
      <c r="F83" s="632">
        <v>4</v>
      </c>
      <c r="G83" s="631">
        <v>2014</v>
      </c>
      <c r="H83" s="635">
        <f t="shared" ref="H83:H147" si="33">RIGHT(G83,2)*100+F83</f>
        <v>1404</v>
      </c>
      <c r="I83" s="658">
        <f>I82/1.01</f>
        <v>13.277227722772277</v>
      </c>
      <c r="J83" s="662">
        <f>J82/1.01</f>
        <v>12.598260120100827</v>
      </c>
      <c r="K83" s="662">
        <f t="shared" si="30"/>
        <v>11.234192726203315</v>
      </c>
      <c r="L83" s="658">
        <f t="shared" si="30"/>
        <v>9.1914887008747925</v>
      </c>
      <c r="M83" s="663">
        <f t="shared" si="31"/>
        <v>9.1914887008747925</v>
      </c>
      <c r="N83" s="663">
        <f t="shared" si="31"/>
        <v>9.1914887008747925</v>
      </c>
      <c r="O83" s="658"/>
      <c r="P83" s="658"/>
      <c r="Q83" s="658"/>
      <c r="R83" s="658"/>
      <c r="S83" s="658"/>
      <c r="W83" s="631">
        <v>7</v>
      </c>
      <c r="X83" s="631">
        <v>2018</v>
      </c>
      <c r="Y83" s="635">
        <f t="shared" si="32"/>
        <v>1807</v>
      </c>
      <c r="Z83" s="1">
        <v>10</v>
      </c>
      <c r="AA83" s="1"/>
      <c r="AI83" s="282">
        <v>66</v>
      </c>
      <c r="AJ83" s="43">
        <f t="shared" si="27"/>
        <v>0</v>
      </c>
      <c r="AK83" s="43">
        <f t="shared" ref="AK83:AK117" si="34">AJ83-AL83</f>
        <v>0</v>
      </c>
      <c r="AL83" s="50">
        <f>Solarstrom!$M$39/12*3*AM82</f>
        <v>0</v>
      </c>
      <c r="AM83" s="49">
        <f t="shared" si="24"/>
        <v>0</v>
      </c>
      <c r="AN83" s="47"/>
      <c r="AO83" s="282"/>
      <c r="AP83" s="282"/>
    </row>
    <row r="84" spans="4:44" ht="15.75">
      <c r="D84" s="664">
        <f t="shared" si="28"/>
        <v>1.0335570469798605E-2</v>
      </c>
      <c r="E84" s="631">
        <f t="shared" si="26"/>
        <v>0</v>
      </c>
      <c r="F84" s="632">
        <v>5</v>
      </c>
      <c r="G84" s="631">
        <v>2014</v>
      </c>
      <c r="H84" s="635">
        <f t="shared" si="33"/>
        <v>1405</v>
      </c>
      <c r="I84" s="658">
        <v>13.14</v>
      </c>
      <c r="J84" s="662">
        <f>J83/1.01</f>
        <v>12.473524871386957</v>
      </c>
      <c r="K84" s="662">
        <f t="shared" si="30"/>
        <v>11.122963095250807</v>
      </c>
      <c r="L84" s="658">
        <f t="shared" si="30"/>
        <v>9.1004838622522701</v>
      </c>
      <c r="M84" s="663">
        <f t="shared" si="31"/>
        <v>9.1004838622522701</v>
      </c>
      <c r="N84" s="663">
        <f>N83/1.01</f>
        <v>9.1004838622522701</v>
      </c>
      <c r="O84" s="658"/>
      <c r="P84" s="658"/>
      <c r="Q84" s="658"/>
      <c r="R84" s="658"/>
      <c r="S84" s="658"/>
      <c r="W84" s="631">
        <v>8</v>
      </c>
      <c r="X84" s="631">
        <v>2018</v>
      </c>
      <c r="Y84" s="635">
        <f t="shared" si="32"/>
        <v>1808</v>
      </c>
      <c r="Z84" s="1">
        <v>10</v>
      </c>
      <c r="AA84" s="1"/>
      <c r="AI84" s="282">
        <v>67</v>
      </c>
      <c r="AJ84" s="43">
        <f t="shared" si="27"/>
        <v>0</v>
      </c>
      <c r="AK84" s="43">
        <f t="shared" si="34"/>
        <v>0</v>
      </c>
      <c r="AL84" s="50">
        <f>Solarstrom!$M$39/12*3*AM83</f>
        <v>0</v>
      </c>
      <c r="AM84" s="49">
        <f t="shared" si="24"/>
        <v>0</v>
      </c>
      <c r="AN84" s="47"/>
      <c r="AO84" s="282"/>
      <c r="AP84" s="282"/>
    </row>
    <row r="85" spans="4:44" ht="15.75">
      <c r="D85" s="664">
        <f t="shared" si="28"/>
        <v>9.9009900990099098E-3</v>
      </c>
      <c r="E85" s="631">
        <f t="shared" si="26"/>
        <v>0</v>
      </c>
      <c r="F85" s="632">
        <v>6</v>
      </c>
      <c r="G85" s="631">
        <v>2014</v>
      </c>
      <c r="H85" s="635">
        <f t="shared" si="33"/>
        <v>1406</v>
      </c>
      <c r="I85" s="658">
        <f>I84/1.01</f>
        <v>13.009900990099011</v>
      </c>
      <c r="J85" s="662">
        <v>12.34</v>
      </c>
      <c r="K85" s="662">
        <f t="shared" si="30"/>
        <v>11.012834747773075</v>
      </c>
      <c r="L85" s="658">
        <f t="shared" si="30"/>
        <v>9.0103800616359102</v>
      </c>
      <c r="M85" s="663">
        <f t="shared" si="31"/>
        <v>9.0103800616359102</v>
      </c>
      <c r="N85" s="663">
        <f>N84/1.01</f>
        <v>9.0103800616359102</v>
      </c>
      <c r="O85" s="658"/>
      <c r="P85" s="658"/>
      <c r="Q85" s="658"/>
      <c r="R85" s="658"/>
      <c r="S85" s="658"/>
      <c r="W85" s="631">
        <v>9</v>
      </c>
      <c r="X85" s="631">
        <v>2018</v>
      </c>
      <c r="Y85" s="635">
        <f t="shared" si="32"/>
        <v>1809</v>
      </c>
      <c r="Z85" s="1">
        <v>10</v>
      </c>
      <c r="AA85" s="1"/>
      <c r="AI85" s="282">
        <v>68</v>
      </c>
      <c r="AJ85" s="43">
        <f t="shared" si="27"/>
        <v>0</v>
      </c>
      <c r="AK85" s="43">
        <f t="shared" si="34"/>
        <v>0</v>
      </c>
      <c r="AL85" s="50">
        <f>Solarstrom!$M$39/12*3*AM84</f>
        <v>0</v>
      </c>
      <c r="AM85" s="49">
        <f t="shared" si="24"/>
        <v>0</v>
      </c>
      <c r="AN85" s="47">
        <f>SUM(AJ82:AJ85)</f>
        <v>0</v>
      </c>
      <c r="AO85" s="43">
        <f>SUM(AK82:AK85)</f>
        <v>0</v>
      </c>
      <c r="AP85" s="43">
        <f>SUM(AL82:AL85)</f>
        <v>0</v>
      </c>
    </row>
    <row r="86" spans="4:44" ht="15.75">
      <c r="D86" s="664">
        <f t="shared" si="28"/>
        <v>9.9009900990099098E-3</v>
      </c>
      <c r="E86" s="631">
        <f t="shared" si="26"/>
        <v>0</v>
      </c>
      <c r="F86" s="632">
        <v>7</v>
      </c>
      <c r="G86" s="631">
        <v>2014</v>
      </c>
      <c r="H86" s="635">
        <f t="shared" si="33"/>
        <v>1407</v>
      </c>
      <c r="I86" s="658">
        <f>I85/1.01</f>
        <v>12.881090089206941</v>
      </c>
      <c r="J86" s="662">
        <f>J85/1.01</f>
        <v>12.217821782178218</v>
      </c>
      <c r="K86" s="662">
        <f t="shared" si="30"/>
        <v>10.903796779973343</v>
      </c>
      <c r="L86" s="658">
        <f t="shared" si="30"/>
        <v>8.9211683778573363</v>
      </c>
      <c r="M86" s="663">
        <f t="shared" si="31"/>
        <v>8.9211683778573363</v>
      </c>
      <c r="N86" s="663">
        <f>N85/1.01</f>
        <v>8.9211683778573363</v>
      </c>
      <c r="O86" s="658"/>
      <c r="P86" s="658"/>
      <c r="Q86" s="658"/>
      <c r="R86" s="658"/>
      <c r="S86" s="658"/>
      <c r="W86" s="631">
        <v>10</v>
      </c>
      <c r="X86" s="631">
        <v>2018</v>
      </c>
      <c r="Y86" s="635">
        <f t="shared" si="32"/>
        <v>1810</v>
      </c>
      <c r="Z86" s="1">
        <v>10</v>
      </c>
      <c r="AA86" s="1"/>
      <c r="AI86" s="282">
        <v>69</v>
      </c>
      <c r="AJ86" s="43">
        <f t="shared" si="27"/>
        <v>0</v>
      </c>
      <c r="AK86" s="43">
        <f t="shared" si="34"/>
        <v>0</v>
      </c>
      <c r="AL86" s="50">
        <f>Solarstrom!$M$39/12*3*AM85</f>
        <v>0</v>
      </c>
      <c r="AM86" s="49">
        <f t="shared" si="24"/>
        <v>0</v>
      </c>
      <c r="AN86" s="47"/>
      <c r="AO86" s="282"/>
      <c r="AP86" s="282"/>
    </row>
    <row r="87" spans="4:44" ht="15.75">
      <c r="H87" s="635" t="str">
        <f>IF(AND($H$10&gt;H86,$H$10&lt;H106),"Überschrift","")</f>
        <v/>
      </c>
      <c r="I87" s="641">
        <v>10</v>
      </c>
      <c r="J87" s="642">
        <v>10</v>
      </c>
      <c r="K87" s="642">
        <v>40</v>
      </c>
      <c r="L87" s="642">
        <v>500</v>
      </c>
      <c r="M87" s="665">
        <v>500</v>
      </c>
      <c r="N87" s="665">
        <f>M87</f>
        <v>500</v>
      </c>
      <c r="O87" s="658"/>
      <c r="P87" s="658"/>
      <c r="Q87" s="658"/>
      <c r="R87" s="658"/>
      <c r="S87" s="658"/>
      <c r="W87" s="631">
        <v>11</v>
      </c>
      <c r="X87" s="631">
        <v>2018</v>
      </c>
      <c r="Y87" s="635">
        <f t="shared" si="32"/>
        <v>1811</v>
      </c>
      <c r="Z87" s="1">
        <v>10</v>
      </c>
      <c r="AA87" s="1"/>
      <c r="AI87" s="282">
        <v>70</v>
      </c>
      <c r="AJ87" s="43">
        <f t="shared" si="27"/>
        <v>0</v>
      </c>
      <c r="AK87" s="43">
        <f t="shared" si="34"/>
        <v>0</v>
      </c>
      <c r="AL87" s="50">
        <f>Solarstrom!$M$39/12*3*AM86</f>
        <v>0</v>
      </c>
      <c r="AM87" s="49">
        <f t="shared" si="24"/>
        <v>0</v>
      </c>
      <c r="AN87" s="47"/>
      <c r="AO87" s="282"/>
      <c r="AP87" s="282"/>
      <c r="AQ87" s="160"/>
      <c r="AR87" s="160"/>
    </row>
    <row r="88" spans="4:44" ht="15.75">
      <c r="D88" s="664">
        <f>1-(I88/I86)</f>
        <v>9.9009900990099098E-3</v>
      </c>
      <c r="E88" s="631">
        <v>30</v>
      </c>
      <c r="F88" s="632">
        <v>8</v>
      </c>
      <c r="G88" s="631">
        <v>2014</v>
      </c>
      <c r="H88" s="635">
        <f t="shared" si="33"/>
        <v>1408</v>
      </c>
      <c r="I88" s="658">
        <f>I86/1.01</f>
        <v>12.753554543769248</v>
      </c>
      <c r="J88" s="658">
        <v>12.4</v>
      </c>
      <c r="K88" s="658">
        <v>11.09</v>
      </c>
      <c r="L88" s="658" t="s">
        <v>136</v>
      </c>
      <c r="M88" s="663">
        <v>8.83</v>
      </c>
      <c r="N88" s="663">
        <v>8.83</v>
      </c>
      <c r="O88" s="658"/>
      <c r="P88" s="658"/>
      <c r="Q88" s="658"/>
      <c r="R88" s="658"/>
      <c r="S88" s="658"/>
      <c r="W88" s="631">
        <v>12</v>
      </c>
      <c r="X88" s="631">
        <v>2018</v>
      </c>
      <c r="Y88" s="635">
        <f t="shared" si="32"/>
        <v>1812</v>
      </c>
      <c r="Z88" s="1">
        <v>10</v>
      </c>
      <c r="AA88" s="1"/>
      <c r="AI88" s="282">
        <v>71</v>
      </c>
      <c r="AJ88" s="43">
        <f t="shared" si="27"/>
        <v>0</v>
      </c>
      <c r="AK88" s="43">
        <f t="shared" si="34"/>
        <v>0</v>
      </c>
      <c r="AL88" s="50">
        <f>Solarstrom!$M$39/12*3*AM87</f>
        <v>0</v>
      </c>
      <c r="AM88" s="49">
        <f t="shared" si="24"/>
        <v>0</v>
      </c>
      <c r="AN88" s="47"/>
      <c r="AO88" s="282"/>
      <c r="AP88" s="282"/>
      <c r="AQ88" s="282"/>
      <c r="AR88" s="282"/>
    </row>
    <row r="89" spans="4:44">
      <c r="D89" s="666">
        <f>1-(I89/I88)</f>
        <v>4.9832808219177904E-3</v>
      </c>
      <c r="E89" s="631">
        <v>30</v>
      </c>
      <c r="F89" s="632">
        <v>9</v>
      </c>
      <c r="G89" s="631">
        <v>2014</v>
      </c>
      <c r="H89" s="635">
        <f t="shared" si="33"/>
        <v>1409</v>
      </c>
      <c r="I89" s="658">
        <v>12.69</v>
      </c>
      <c r="J89" s="658">
        <v>12.34</v>
      </c>
      <c r="K89" s="658">
        <v>11.03</v>
      </c>
      <c r="L89" s="658" t="s">
        <v>136</v>
      </c>
      <c r="M89" s="663">
        <v>8.7899999999999991</v>
      </c>
      <c r="N89" s="663">
        <v>8.7899999999999991</v>
      </c>
      <c r="O89" s="658"/>
      <c r="P89" s="658"/>
      <c r="Q89" s="658"/>
      <c r="R89" s="658"/>
      <c r="S89" s="658"/>
      <c r="AI89" s="282">
        <v>72</v>
      </c>
      <c r="AJ89" s="43">
        <f t="shared" si="27"/>
        <v>0</v>
      </c>
      <c r="AK89" s="43">
        <f t="shared" si="34"/>
        <v>0</v>
      </c>
      <c r="AL89" s="50">
        <f>Solarstrom!$M$39/12*3*AM88</f>
        <v>0</v>
      </c>
      <c r="AM89" s="49">
        <f t="shared" si="24"/>
        <v>0</v>
      </c>
      <c r="AN89" s="47">
        <f>SUM(AJ86:AJ89)</f>
        <v>0</v>
      </c>
      <c r="AO89" s="43">
        <f>SUM(AK86:AK89)</f>
        <v>0</v>
      </c>
      <c r="AP89" s="43">
        <f>SUM(AL86:AL89)</f>
        <v>0</v>
      </c>
      <c r="AQ89" s="282"/>
      <c r="AR89" s="282"/>
    </row>
    <row r="90" spans="4:44">
      <c r="D90" s="666">
        <f t="shared" ref="D90:D114" si="35">1-(I90/I89)</f>
        <v>3.1520882584711307E-3</v>
      </c>
      <c r="E90" s="631">
        <v>30</v>
      </c>
      <c r="F90" s="632">
        <v>10</v>
      </c>
      <c r="G90" s="631">
        <v>2014</v>
      </c>
      <c r="H90" s="635">
        <f t="shared" si="33"/>
        <v>1410</v>
      </c>
      <c r="I90" s="658">
        <v>12.65</v>
      </c>
      <c r="J90" s="658">
        <v>12.31</v>
      </c>
      <c r="K90" s="658">
        <v>11.01</v>
      </c>
      <c r="L90" s="658" t="s">
        <v>136</v>
      </c>
      <c r="M90" s="663">
        <v>8.76</v>
      </c>
      <c r="N90" s="663">
        <v>8.76</v>
      </c>
      <c r="O90" s="658"/>
      <c r="P90" s="658"/>
      <c r="Q90" s="658"/>
      <c r="R90" s="658"/>
      <c r="S90" s="658"/>
      <c r="AI90" s="282">
        <v>73</v>
      </c>
      <c r="AJ90" s="43">
        <f t="shared" si="27"/>
        <v>0</v>
      </c>
      <c r="AK90" s="43">
        <f t="shared" si="34"/>
        <v>0</v>
      </c>
      <c r="AL90" s="50">
        <f>Solarstrom!$M$39/12*3*AM89</f>
        <v>0</v>
      </c>
      <c r="AM90" s="49">
        <f t="shared" si="24"/>
        <v>0</v>
      </c>
      <c r="AN90" s="47"/>
      <c r="AO90" s="282"/>
      <c r="AP90" s="282"/>
      <c r="AQ90" s="282"/>
      <c r="AR90" s="282"/>
    </row>
    <row r="91" spans="4:44">
      <c r="D91" s="666">
        <f t="shared" si="35"/>
        <v>2.3715415019763819E-3</v>
      </c>
      <c r="E91" s="631">
        <v>30</v>
      </c>
      <c r="F91" s="632">
        <v>11</v>
      </c>
      <c r="G91" s="631">
        <v>2014</v>
      </c>
      <c r="H91" s="635">
        <f t="shared" si="33"/>
        <v>1411</v>
      </c>
      <c r="I91" s="658">
        <v>12.62</v>
      </c>
      <c r="J91" s="658">
        <v>12.28</v>
      </c>
      <c r="K91" s="658">
        <v>10.98</v>
      </c>
      <c r="L91" s="658" t="s">
        <v>136</v>
      </c>
      <c r="M91" s="663">
        <v>8.74</v>
      </c>
      <c r="N91" s="663">
        <v>8.74</v>
      </c>
      <c r="O91" s="658"/>
      <c r="P91" s="658"/>
      <c r="Q91" s="658"/>
      <c r="R91" s="658"/>
      <c r="S91" s="658"/>
      <c r="AI91" s="282">
        <v>74</v>
      </c>
      <c r="AJ91" s="43">
        <f t="shared" si="27"/>
        <v>0</v>
      </c>
      <c r="AK91" s="43">
        <f t="shared" si="34"/>
        <v>0</v>
      </c>
      <c r="AL91" s="50">
        <f>Solarstrom!$M$39/12*3*AM90</f>
        <v>0</v>
      </c>
      <c r="AM91" s="49">
        <f t="shared" si="24"/>
        <v>0</v>
      </c>
      <c r="AN91" s="47"/>
      <c r="AO91" s="282"/>
      <c r="AP91" s="282"/>
      <c r="AQ91" s="282"/>
      <c r="AR91" s="282"/>
    </row>
    <row r="92" spans="4:44">
      <c r="D92" s="666">
        <f t="shared" si="35"/>
        <v>2.3771790808240212E-3</v>
      </c>
      <c r="E92" s="631">
        <v>30</v>
      </c>
      <c r="F92" s="632">
        <v>12</v>
      </c>
      <c r="G92" s="631">
        <v>2014</v>
      </c>
      <c r="H92" s="635">
        <f t="shared" si="33"/>
        <v>1412</v>
      </c>
      <c r="I92" s="658">
        <v>12.59</v>
      </c>
      <c r="J92" s="658">
        <v>12.25</v>
      </c>
      <c r="K92" s="658">
        <v>10.95</v>
      </c>
      <c r="L92" s="658" t="s">
        <v>136</v>
      </c>
      <c r="M92" s="663">
        <v>8.7200000000000006</v>
      </c>
      <c r="N92" s="663">
        <v>8.7200000000000006</v>
      </c>
      <c r="O92" s="658"/>
      <c r="P92" s="658"/>
      <c r="Q92" s="658"/>
      <c r="R92" s="658"/>
      <c r="S92" s="658"/>
      <c r="AI92" s="282">
        <v>75</v>
      </c>
      <c r="AJ92" s="43">
        <f t="shared" si="27"/>
        <v>0</v>
      </c>
      <c r="AK92" s="43">
        <f t="shared" si="34"/>
        <v>0</v>
      </c>
      <c r="AL92" s="50">
        <f>Solarstrom!$M$39/12*3*AM91</f>
        <v>0</v>
      </c>
      <c r="AM92" s="49">
        <f t="shared" si="24"/>
        <v>0</v>
      </c>
      <c r="AN92" s="47"/>
      <c r="AO92" s="282"/>
      <c r="AP92" s="282"/>
      <c r="AQ92" s="282"/>
    </row>
    <row r="93" spans="4:44">
      <c r="D93" s="666">
        <f t="shared" si="35"/>
        <v>2.4999999999998357E-3</v>
      </c>
      <c r="E93" s="631">
        <v>30</v>
      </c>
      <c r="F93" s="632">
        <v>1</v>
      </c>
      <c r="G93" s="631">
        <v>2015</v>
      </c>
      <c r="H93" s="635">
        <f t="shared" si="33"/>
        <v>1501</v>
      </c>
      <c r="I93" s="658">
        <f>I92*0.9975</f>
        <v>12.558525000000001</v>
      </c>
      <c r="J93" s="658">
        <f>J92*0.9975</f>
        <v>12.219375000000001</v>
      </c>
      <c r="K93" s="658">
        <f>K92*0.9975</f>
        <v>10.922625</v>
      </c>
      <c r="L93" s="658" t="s">
        <v>136</v>
      </c>
      <c r="M93" s="663">
        <f t="shared" ref="M93:M101" si="36">M92*0.9975</f>
        <v>8.6982000000000017</v>
      </c>
      <c r="N93" s="663">
        <f t="shared" ref="N93:N101" si="37">N92*0.9975</f>
        <v>8.6982000000000017</v>
      </c>
      <c r="O93" s="658"/>
      <c r="P93" s="658"/>
      <c r="Q93" s="658"/>
      <c r="R93" s="658"/>
      <c r="S93" s="658"/>
      <c r="AI93" s="282">
        <v>76</v>
      </c>
      <c r="AJ93" s="43">
        <f t="shared" si="27"/>
        <v>0</v>
      </c>
      <c r="AK93" s="43">
        <f t="shared" si="34"/>
        <v>0</v>
      </c>
      <c r="AL93" s="50">
        <f>Solarstrom!$M$39/12*3*AM92</f>
        <v>0</v>
      </c>
      <c r="AM93" s="49">
        <f t="shared" si="24"/>
        <v>0</v>
      </c>
      <c r="AN93" s="47">
        <f>SUM(AJ90:AJ93)</f>
        <v>0</v>
      </c>
      <c r="AO93" s="43">
        <f>SUM(AK90:AK93)</f>
        <v>0</v>
      </c>
      <c r="AP93" s="43">
        <f>SUM(AL90:AL93)</f>
        <v>0</v>
      </c>
      <c r="AQ93" s="282"/>
      <c r="AR93" s="154"/>
    </row>
    <row r="94" spans="4:44">
      <c r="D94" s="666">
        <f t="shared" si="35"/>
        <v>2.5000000000000577E-3</v>
      </c>
      <c r="E94" s="631">
        <v>30</v>
      </c>
      <c r="F94" s="632">
        <v>2</v>
      </c>
      <c r="G94" s="631">
        <v>2015</v>
      </c>
      <c r="H94" s="635">
        <f t="shared" si="33"/>
        <v>1502</v>
      </c>
      <c r="I94" s="658">
        <f t="shared" ref="I94:I101" si="38">I93*0.9975</f>
        <v>12.527128687500001</v>
      </c>
      <c r="J94" s="658">
        <v>12.18</v>
      </c>
      <c r="K94" s="658">
        <f t="shared" ref="K94:K101" si="39">K93*0.9975</f>
        <v>10.8953184375</v>
      </c>
      <c r="L94" s="658" t="s">
        <v>136</v>
      </c>
      <c r="M94" s="663">
        <f t="shared" si="36"/>
        <v>8.676454500000002</v>
      </c>
      <c r="N94" s="663">
        <f t="shared" si="37"/>
        <v>8.676454500000002</v>
      </c>
      <c r="O94" s="658"/>
      <c r="P94" s="658"/>
      <c r="Q94" s="658"/>
      <c r="R94" s="658"/>
      <c r="S94" s="658"/>
      <c r="AI94" s="403">
        <v>77</v>
      </c>
      <c r="AJ94" s="43">
        <f t="shared" si="27"/>
        <v>0</v>
      </c>
      <c r="AK94" s="43">
        <f t="shared" si="34"/>
        <v>0</v>
      </c>
      <c r="AL94" s="50">
        <f>Solarstrom!$M$39/12*3*AM93</f>
        <v>0</v>
      </c>
      <c r="AM94" s="49">
        <f t="shared" si="24"/>
        <v>0</v>
      </c>
      <c r="AN94" s="33"/>
      <c r="AO94" s="33"/>
      <c r="AP94" s="33"/>
      <c r="AQ94" s="282"/>
      <c r="AR94" s="154"/>
    </row>
    <row r="95" spans="4:44">
      <c r="D95" s="666">
        <f t="shared" si="35"/>
        <v>2.4999999999999467E-3</v>
      </c>
      <c r="E95" s="631">
        <v>30</v>
      </c>
      <c r="F95" s="632">
        <v>3</v>
      </c>
      <c r="G95" s="631">
        <v>2015</v>
      </c>
      <c r="H95" s="635">
        <f t="shared" si="33"/>
        <v>1503</v>
      </c>
      <c r="I95" s="658">
        <f t="shared" si="38"/>
        <v>12.495810865781252</v>
      </c>
      <c r="J95" s="658">
        <f t="shared" ref="J95:J101" si="40">J94*0.9975</f>
        <v>12.14955</v>
      </c>
      <c r="K95" s="658">
        <f t="shared" si="39"/>
        <v>10.868080141406251</v>
      </c>
      <c r="L95" s="658" t="s">
        <v>136</v>
      </c>
      <c r="M95" s="663">
        <f t="shared" si="36"/>
        <v>8.6547633637500017</v>
      </c>
      <c r="N95" s="663">
        <f t="shared" si="37"/>
        <v>8.6547633637500017</v>
      </c>
      <c r="O95" s="658"/>
      <c r="P95" s="658"/>
      <c r="Q95" s="658"/>
      <c r="R95" s="658"/>
      <c r="S95" s="658"/>
      <c r="AI95" s="403">
        <v>78</v>
      </c>
      <c r="AJ95" s="43">
        <f t="shared" si="27"/>
        <v>0</v>
      </c>
      <c r="AK95" s="43">
        <f t="shared" si="34"/>
        <v>0</v>
      </c>
      <c r="AL95" s="50">
        <f>Solarstrom!$M$39/12*3*AM94</f>
        <v>0</v>
      </c>
      <c r="AM95" s="49">
        <f t="shared" si="24"/>
        <v>0</v>
      </c>
      <c r="AN95" s="33"/>
      <c r="AO95" s="33"/>
      <c r="AP95" s="33"/>
      <c r="AQ95" s="282"/>
      <c r="AR95" s="154"/>
    </row>
    <row r="96" spans="4:44">
      <c r="D96" s="666">
        <f t="shared" si="35"/>
        <v>2.0655614956475166E-3</v>
      </c>
      <c r="E96" s="631">
        <v>30</v>
      </c>
      <c r="F96" s="632">
        <v>4</v>
      </c>
      <c r="G96" s="631">
        <v>2015</v>
      </c>
      <c r="H96" s="635">
        <f t="shared" si="33"/>
        <v>1504</v>
      </c>
      <c r="I96" s="658">
        <v>12.47</v>
      </c>
      <c r="J96" s="658">
        <f t="shared" si="40"/>
        <v>12.119176125000001</v>
      </c>
      <c r="K96" s="658">
        <f t="shared" si="39"/>
        <v>10.840909941052736</v>
      </c>
      <c r="L96" s="658" t="s">
        <v>136</v>
      </c>
      <c r="M96" s="663">
        <f t="shared" si="36"/>
        <v>8.6331264553406264</v>
      </c>
      <c r="N96" s="663">
        <f t="shared" si="37"/>
        <v>8.6331264553406264</v>
      </c>
      <c r="O96" s="658"/>
      <c r="P96" s="658"/>
      <c r="Q96" s="658"/>
      <c r="R96" s="658"/>
      <c r="S96" s="658"/>
      <c r="AI96" s="282">
        <v>79</v>
      </c>
      <c r="AJ96" s="43">
        <f t="shared" si="27"/>
        <v>0</v>
      </c>
      <c r="AK96" s="43">
        <f t="shared" si="34"/>
        <v>0</v>
      </c>
      <c r="AL96" s="50">
        <f>Solarstrom!$M$39/12*3*AM95</f>
        <v>0</v>
      </c>
      <c r="AM96" s="49">
        <f t="shared" si="24"/>
        <v>0</v>
      </c>
      <c r="AN96" s="47"/>
      <c r="AO96" s="282"/>
      <c r="AP96" s="282"/>
      <c r="AQ96" s="282"/>
      <c r="AR96" s="282"/>
    </row>
    <row r="97" spans="4:44">
      <c r="D97" s="666">
        <f>1-(I97/I96)</f>
        <v>3.2076984763432792E-3</v>
      </c>
      <c r="E97" s="631">
        <v>30</v>
      </c>
      <c r="F97" s="632">
        <v>5</v>
      </c>
      <c r="G97" s="631">
        <v>2015</v>
      </c>
      <c r="H97" s="635">
        <f t="shared" si="33"/>
        <v>1505</v>
      </c>
      <c r="I97" s="658">
        <v>12.43</v>
      </c>
      <c r="J97" s="658">
        <f t="shared" si="40"/>
        <v>12.088878184687502</v>
      </c>
      <c r="K97" s="658">
        <v>10.82</v>
      </c>
      <c r="L97" s="658" t="s">
        <v>136</v>
      </c>
      <c r="M97" s="663">
        <f t="shared" si="36"/>
        <v>8.6115436392022762</v>
      </c>
      <c r="N97" s="663">
        <f t="shared" si="37"/>
        <v>8.6115436392022762</v>
      </c>
      <c r="O97" s="658"/>
      <c r="P97" s="658"/>
      <c r="Q97" s="658"/>
      <c r="R97" s="658"/>
      <c r="S97" s="658"/>
      <c r="AI97" s="282">
        <v>80</v>
      </c>
      <c r="AJ97" s="43">
        <f t="shared" si="27"/>
        <v>0</v>
      </c>
      <c r="AK97" s="43">
        <f t="shared" si="34"/>
        <v>0</v>
      </c>
      <c r="AL97" s="50">
        <f>Solarstrom!$M$39/12*3*AM96</f>
        <v>0</v>
      </c>
      <c r="AM97" s="49">
        <f t="shared" si="24"/>
        <v>0</v>
      </c>
      <c r="AN97" s="47">
        <f>SUM(AJ94:AJ97)</f>
        <v>0</v>
      </c>
      <c r="AO97" s="43">
        <f>SUM(AK94:AK97)</f>
        <v>0</v>
      </c>
      <c r="AP97" s="43">
        <f>SUM(AL94:AL97)</f>
        <v>0</v>
      </c>
      <c r="AQ97" s="282"/>
      <c r="AR97" s="282"/>
    </row>
    <row r="98" spans="4:44">
      <c r="D98" s="666">
        <f>1-(I98/I97)</f>
        <v>2.4999999999999467E-3</v>
      </c>
      <c r="E98" s="631">
        <v>30</v>
      </c>
      <c r="F98" s="632">
        <v>6</v>
      </c>
      <c r="G98" s="631">
        <v>2015</v>
      </c>
      <c r="H98" s="635">
        <f t="shared" si="33"/>
        <v>1506</v>
      </c>
      <c r="I98" s="658">
        <f t="shared" si="38"/>
        <v>12.398925</v>
      </c>
      <c r="J98" s="658">
        <f t="shared" si="40"/>
        <v>12.058655989225784</v>
      </c>
      <c r="K98" s="658">
        <f t="shared" si="39"/>
        <v>10.792950000000001</v>
      </c>
      <c r="L98" s="658" t="s">
        <v>136</v>
      </c>
      <c r="M98" s="663">
        <f t="shared" si="36"/>
        <v>8.590014780104271</v>
      </c>
      <c r="N98" s="663">
        <f t="shared" si="37"/>
        <v>8.590014780104271</v>
      </c>
      <c r="O98" s="658"/>
      <c r="P98" s="658"/>
      <c r="Q98" s="658"/>
      <c r="R98" s="658"/>
      <c r="S98" s="658"/>
      <c r="AI98" s="282">
        <v>81</v>
      </c>
      <c r="AJ98" s="43">
        <f t="shared" si="27"/>
        <v>0</v>
      </c>
      <c r="AK98" s="43">
        <f t="shared" si="34"/>
        <v>0</v>
      </c>
      <c r="AL98" s="50">
        <f>Solarstrom!$M$39/12*3*AM97</f>
        <v>0</v>
      </c>
      <c r="AM98" s="49">
        <f t="shared" si="24"/>
        <v>0</v>
      </c>
      <c r="AN98" s="47"/>
      <c r="AO98" s="282"/>
      <c r="AP98" s="282"/>
      <c r="AQ98" s="282"/>
      <c r="AR98" s="282"/>
    </row>
    <row r="99" spans="4:44">
      <c r="D99" s="666">
        <f>1-(I99/I98)</f>
        <v>2.4999999999998357E-3</v>
      </c>
      <c r="E99" s="631">
        <v>30</v>
      </c>
      <c r="F99" s="632">
        <v>7</v>
      </c>
      <c r="G99" s="631">
        <v>2015</v>
      </c>
      <c r="H99" s="635">
        <f t="shared" si="33"/>
        <v>1507</v>
      </c>
      <c r="I99" s="658">
        <f t="shared" si="38"/>
        <v>12.367927687500002</v>
      </c>
      <c r="J99" s="658">
        <f t="shared" si="40"/>
        <v>12.028509349252721</v>
      </c>
      <c r="K99" s="658">
        <f t="shared" si="39"/>
        <v>10.765967625000002</v>
      </c>
      <c r="L99" s="658" t="s">
        <v>136</v>
      </c>
      <c r="M99" s="663">
        <f t="shared" si="36"/>
        <v>8.5685397431540107</v>
      </c>
      <c r="N99" s="663">
        <f t="shared" si="37"/>
        <v>8.5685397431540107</v>
      </c>
      <c r="O99" s="658"/>
      <c r="P99" s="658"/>
      <c r="Q99" s="658"/>
      <c r="R99" s="658"/>
      <c r="S99" s="658"/>
      <c r="AI99" s="282">
        <v>82</v>
      </c>
      <c r="AJ99" s="43">
        <f t="shared" si="27"/>
        <v>0</v>
      </c>
      <c r="AK99" s="43">
        <f t="shared" si="34"/>
        <v>0</v>
      </c>
      <c r="AL99" s="50">
        <f>Solarstrom!$M$39/12*3*AM98</f>
        <v>0</v>
      </c>
      <c r="AM99" s="49">
        <f t="shared" si="24"/>
        <v>0</v>
      </c>
      <c r="AN99" s="47"/>
      <c r="AO99" s="282"/>
      <c r="AP99" s="282"/>
      <c r="AQ99" s="308"/>
      <c r="AR99" s="308"/>
    </row>
    <row r="100" spans="4:44">
      <c r="D100" s="666">
        <f t="shared" si="35"/>
        <v>2.4999999999999467E-3</v>
      </c>
      <c r="E100" s="631">
        <v>30</v>
      </c>
      <c r="F100" s="632">
        <v>8</v>
      </c>
      <c r="G100" s="631">
        <v>2015</v>
      </c>
      <c r="H100" s="635">
        <f t="shared" si="33"/>
        <v>1508</v>
      </c>
      <c r="I100" s="658">
        <f t="shared" si="38"/>
        <v>12.337007868281253</v>
      </c>
      <c r="J100" s="658">
        <f t="shared" si="40"/>
        <v>11.998438075879589</v>
      </c>
      <c r="K100" s="658">
        <f t="shared" si="39"/>
        <v>10.739052705937503</v>
      </c>
      <c r="L100" s="658" t="s">
        <v>136</v>
      </c>
      <c r="M100" s="663">
        <f t="shared" si="36"/>
        <v>8.5471183937961257</v>
      </c>
      <c r="N100" s="663">
        <f t="shared" si="37"/>
        <v>8.5471183937961257</v>
      </c>
      <c r="O100" s="658"/>
      <c r="P100" s="658"/>
      <c r="Q100" s="658"/>
      <c r="R100" s="658"/>
      <c r="S100" s="658"/>
      <c r="AI100" s="282">
        <v>83</v>
      </c>
      <c r="AJ100" s="43">
        <f t="shared" si="27"/>
        <v>0</v>
      </c>
      <c r="AK100" s="43">
        <f t="shared" si="34"/>
        <v>0</v>
      </c>
      <c r="AL100" s="50">
        <f>Solarstrom!$M$39/12*3*AM99</f>
        <v>0</v>
      </c>
      <c r="AM100" s="49">
        <f t="shared" si="24"/>
        <v>0</v>
      </c>
      <c r="AN100" s="47"/>
      <c r="AO100" s="282"/>
      <c r="AP100" s="282"/>
      <c r="AQ100" s="308"/>
      <c r="AR100" s="308"/>
    </row>
    <row r="101" spans="4:44">
      <c r="D101" s="666">
        <f t="shared" si="35"/>
        <v>2.4999999999999467E-3</v>
      </c>
      <c r="E101" s="631">
        <v>30</v>
      </c>
      <c r="F101" s="632">
        <v>9</v>
      </c>
      <c r="G101" s="631">
        <v>2015</v>
      </c>
      <c r="H101" s="635">
        <f t="shared" si="33"/>
        <v>1509</v>
      </c>
      <c r="I101" s="658">
        <f t="shared" si="38"/>
        <v>12.30616534861055</v>
      </c>
      <c r="J101" s="658">
        <f t="shared" si="40"/>
        <v>11.968441980689891</v>
      </c>
      <c r="K101" s="658">
        <f t="shared" si="39"/>
        <v>10.71220507417266</v>
      </c>
      <c r="L101" s="658" t="s">
        <v>136</v>
      </c>
      <c r="M101" s="663">
        <f t="shared" si="36"/>
        <v>8.5257505978116352</v>
      </c>
      <c r="N101" s="663">
        <f t="shared" si="37"/>
        <v>8.5257505978116352</v>
      </c>
      <c r="O101" s="658"/>
      <c r="P101" s="658"/>
      <c r="Q101" s="658"/>
      <c r="R101" s="658"/>
      <c r="S101" s="658"/>
      <c r="AI101" s="282">
        <v>84</v>
      </c>
      <c r="AJ101" s="43">
        <f t="shared" si="27"/>
        <v>0</v>
      </c>
      <c r="AK101" s="43">
        <f t="shared" si="34"/>
        <v>0</v>
      </c>
      <c r="AL101" s="50">
        <f>Solarstrom!$M$39/12*3*AM100</f>
        <v>0</v>
      </c>
      <c r="AM101" s="49">
        <f t="shared" si="24"/>
        <v>0</v>
      </c>
      <c r="AN101" s="47">
        <f>SUM(AJ98:AJ101)</f>
        <v>0</v>
      </c>
      <c r="AO101" s="43">
        <f>SUM(AK98:AK101)</f>
        <v>0</v>
      </c>
      <c r="AP101" s="43">
        <f>SUM(AL98:AL101)</f>
        <v>0</v>
      </c>
      <c r="AQ101" s="308"/>
      <c r="AR101" s="308"/>
    </row>
    <row r="102" spans="4:44">
      <c r="D102" s="666">
        <f t="shared" si="35"/>
        <v>0</v>
      </c>
      <c r="E102" s="631">
        <v>30</v>
      </c>
      <c r="F102" s="632">
        <v>10</v>
      </c>
      <c r="G102" s="631">
        <v>2015</v>
      </c>
      <c r="H102" s="635">
        <f t="shared" si="33"/>
        <v>1510</v>
      </c>
      <c r="I102" s="658">
        <v>12.30616534861055</v>
      </c>
      <c r="J102" s="658">
        <v>11.968441980689891</v>
      </c>
      <c r="K102" s="658">
        <v>10.71220507417266</v>
      </c>
      <c r="L102" s="658" t="s">
        <v>136</v>
      </c>
      <c r="M102" s="663">
        <v>8.5257505978116352</v>
      </c>
      <c r="N102" s="663">
        <v>8.5257505978116352</v>
      </c>
      <c r="O102" s="658"/>
      <c r="P102" s="658"/>
      <c r="Q102" s="658"/>
      <c r="R102" s="658"/>
      <c r="S102" s="658"/>
      <c r="AI102" s="282">
        <v>85</v>
      </c>
      <c r="AJ102" s="43">
        <f t="shared" si="27"/>
        <v>0</v>
      </c>
      <c r="AK102" s="43">
        <f t="shared" si="34"/>
        <v>0</v>
      </c>
      <c r="AL102" s="50">
        <f>Solarstrom!$M$39/12*3*AM101</f>
        <v>0</v>
      </c>
      <c r="AM102" s="49">
        <f t="shared" si="24"/>
        <v>0</v>
      </c>
      <c r="AN102" s="47"/>
      <c r="AO102" s="282"/>
      <c r="AP102" s="282"/>
      <c r="AQ102" s="308"/>
      <c r="AR102" s="308"/>
    </row>
    <row r="103" spans="4:44">
      <c r="D103" s="666">
        <f t="shared" si="35"/>
        <v>0</v>
      </c>
      <c r="E103" s="631">
        <v>30</v>
      </c>
      <c r="F103" s="632">
        <v>11</v>
      </c>
      <c r="G103" s="631">
        <v>2015</v>
      </c>
      <c r="H103" s="635">
        <f t="shared" si="33"/>
        <v>1511</v>
      </c>
      <c r="I103" s="658">
        <v>12.30616534861055</v>
      </c>
      <c r="J103" s="658">
        <v>11.968441980689891</v>
      </c>
      <c r="K103" s="658">
        <v>10.71220507417266</v>
      </c>
      <c r="L103" s="658" t="s">
        <v>136</v>
      </c>
      <c r="M103" s="663">
        <v>8.5257505978116352</v>
      </c>
      <c r="N103" s="663">
        <v>8.5257505978116352</v>
      </c>
      <c r="O103" s="658"/>
      <c r="P103" s="658"/>
      <c r="Q103" s="658"/>
      <c r="R103" s="658"/>
      <c r="S103" s="658"/>
      <c r="AI103" s="282">
        <v>86</v>
      </c>
      <c r="AJ103" s="43">
        <f t="shared" si="27"/>
        <v>0</v>
      </c>
      <c r="AK103" s="43">
        <f t="shared" si="34"/>
        <v>0</v>
      </c>
      <c r="AL103" s="50">
        <f>Solarstrom!$M$39/12*3*AM102</f>
        <v>0</v>
      </c>
      <c r="AM103" s="49">
        <f t="shared" ref="AM103:AM117" si="41">IF(AM102&lt;=0.0001,0,AM102-AK103)</f>
        <v>0</v>
      </c>
      <c r="AN103" s="47"/>
      <c r="AO103" s="282"/>
      <c r="AP103" s="282"/>
      <c r="AQ103" s="308"/>
      <c r="AR103" s="308"/>
    </row>
    <row r="104" spans="4:44">
      <c r="D104" s="666">
        <f t="shared" si="35"/>
        <v>0</v>
      </c>
      <c r="E104" s="631">
        <v>30</v>
      </c>
      <c r="F104" s="632">
        <v>12</v>
      </c>
      <c r="G104" s="631">
        <v>2015</v>
      </c>
      <c r="H104" s="635">
        <f t="shared" si="33"/>
        <v>1512</v>
      </c>
      <c r="I104" s="658">
        <v>12.30616534861055</v>
      </c>
      <c r="J104" s="658">
        <v>11.968441980689891</v>
      </c>
      <c r="K104" s="658">
        <v>10.71220507417266</v>
      </c>
      <c r="L104" s="658" t="s">
        <v>136</v>
      </c>
      <c r="M104" s="663">
        <v>8.5257505978116352</v>
      </c>
      <c r="N104" s="663">
        <v>8.5257505978116352</v>
      </c>
      <c r="O104" s="658"/>
      <c r="P104" s="658"/>
      <c r="Q104" s="658"/>
      <c r="R104" s="658"/>
      <c r="S104" s="658"/>
      <c r="AI104" s="282">
        <v>87</v>
      </c>
      <c r="AJ104" s="43">
        <f t="shared" si="27"/>
        <v>0</v>
      </c>
      <c r="AK104" s="43">
        <f t="shared" si="34"/>
        <v>0</v>
      </c>
      <c r="AL104" s="50">
        <f>Solarstrom!$M$39/12*3*AM103</f>
        <v>0</v>
      </c>
      <c r="AM104" s="49">
        <f t="shared" si="41"/>
        <v>0</v>
      </c>
      <c r="AN104" s="47"/>
      <c r="AO104" s="282"/>
      <c r="AP104" s="282"/>
      <c r="AQ104" s="308"/>
      <c r="AR104" s="308"/>
    </row>
    <row r="105" spans="4:44">
      <c r="D105" s="666"/>
      <c r="H105" s="635" t="str">
        <f>IF(AND($H$10&gt;H104,$H$10&lt;H153),"Überschrift","")</f>
        <v>Überschrift</v>
      </c>
      <c r="I105" s="641">
        <v>10</v>
      </c>
      <c r="J105" s="642">
        <v>10</v>
      </c>
      <c r="K105" s="642">
        <v>40</v>
      </c>
      <c r="L105" s="642">
        <v>100</v>
      </c>
      <c r="M105" s="665">
        <v>100</v>
      </c>
      <c r="N105" s="665">
        <v>100</v>
      </c>
      <c r="O105" s="658"/>
      <c r="P105" s="658"/>
      <c r="Q105" s="658"/>
      <c r="R105" s="658"/>
      <c r="S105" s="658"/>
      <c r="AI105" s="282">
        <v>88</v>
      </c>
      <c r="AJ105" s="43">
        <f t="shared" si="27"/>
        <v>0</v>
      </c>
      <c r="AK105" s="43">
        <f t="shared" si="34"/>
        <v>0</v>
      </c>
      <c r="AL105" s="50">
        <f>Solarstrom!$M$39/12*3*AM104</f>
        <v>0</v>
      </c>
      <c r="AM105" s="49">
        <f t="shared" si="41"/>
        <v>0</v>
      </c>
      <c r="AN105" s="47">
        <f>SUM(AJ102:AJ105)</f>
        <v>0</v>
      </c>
      <c r="AO105" s="43">
        <f>SUM(AK102:AK105)</f>
        <v>0</v>
      </c>
      <c r="AP105" s="43">
        <f>SUM(AL102:AL105)</f>
        <v>0</v>
      </c>
      <c r="AQ105" s="308"/>
      <c r="AR105" s="308"/>
    </row>
    <row r="106" spans="4:44">
      <c r="D106" s="666">
        <f>1-(I106/I104)</f>
        <v>0</v>
      </c>
      <c r="E106" s="631">
        <v>35</v>
      </c>
      <c r="F106" s="632">
        <v>1</v>
      </c>
      <c r="G106" s="631">
        <v>2016</v>
      </c>
      <c r="H106" s="635">
        <f t="shared" si="33"/>
        <v>1601</v>
      </c>
      <c r="I106" s="658">
        <v>12.30616534861055</v>
      </c>
      <c r="J106" s="658">
        <v>11.968441980689891</v>
      </c>
      <c r="K106" s="658">
        <v>10.71220507417266</v>
      </c>
      <c r="L106" s="658" t="s">
        <v>136</v>
      </c>
      <c r="M106" s="663">
        <v>8.5257505978116352</v>
      </c>
      <c r="N106" s="663">
        <v>8.5257505978116352</v>
      </c>
      <c r="O106" s="658"/>
      <c r="P106" s="658"/>
      <c r="Q106" s="658"/>
      <c r="R106" s="658"/>
      <c r="S106" s="658"/>
      <c r="AI106" s="282">
        <v>89</v>
      </c>
      <c r="AJ106" s="43">
        <f t="shared" si="27"/>
        <v>0</v>
      </c>
      <c r="AK106" s="43">
        <f t="shared" si="34"/>
        <v>0</v>
      </c>
      <c r="AL106" s="50">
        <f>Solarstrom!$M$39/12*3*AM105</f>
        <v>0</v>
      </c>
      <c r="AM106" s="49">
        <f t="shared" si="41"/>
        <v>0</v>
      </c>
      <c r="AN106" s="47"/>
      <c r="AO106" s="282"/>
      <c r="AP106" s="282"/>
      <c r="AQ106" s="308"/>
      <c r="AR106" s="308"/>
    </row>
    <row r="107" spans="4:44">
      <c r="D107" s="666">
        <f t="shared" si="35"/>
        <v>0</v>
      </c>
      <c r="E107" s="631">
        <v>35</v>
      </c>
      <c r="F107" s="632">
        <v>2</v>
      </c>
      <c r="G107" s="631">
        <v>2016</v>
      </c>
      <c r="H107" s="635">
        <f t="shared" si="33"/>
        <v>1602</v>
      </c>
      <c r="I107" s="658">
        <v>12.30616534861055</v>
      </c>
      <c r="J107" s="658">
        <v>11.968441980689891</v>
      </c>
      <c r="K107" s="658">
        <v>10.71220507417266</v>
      </c>
      <c r="L107" s="658" t="s">
        <v>136</v>
      </c>
      <c r="M107" s="663">
        <v>8.5257505978116352</v>
      </c>
      <c r="N107" s="663">
        <v>8.5257505978116352</v>
      </c>
      <c r="O107" s="658"/>
      <c r="P107" s="658"/>
      <c r="Q107" s="658"/>
      <c r="R107" s="658"/>
      <c r="S107" s="658"/>
      <c r="AI107" s="282">
        <v>90</v>
      </c>
      <c r="AJ107" s="43">
        <f t="shared" si="27"/>
        <v>0</v>
      </c>
      <c r="AK107" s="43">
        <f t="shared" si="34"/>
        <v>0</v>
      </c>
      <c r="AL107" s="50">
        <f>Solarstrom!$M$39/12*3*AM106</f>
        <v>0</v>
      </c>
      <c r="AM107" s="49">
        <f t="shared" si="41"/>
        <v>0</v>
      </c>
      <c r="AN107" s="47"/>
      <c r="AO107" s="282"/>
      <c r="AP107" s="282"/>
      <c r="AQ107" s="308"/>
      <c r="AR107" s="308"/>
    </row>
    <row r="108" spans="4:44">
      <c r="D108" s="666">
        <f t="shared" si="35"/>
        <v>0</v>
      </c>
      <c r="E108" s="631">
        <v>35</v>
      </c>
      <c r="F108" s="632">
        <v>3</v>
      </c>
      <c r="G108" s="631">
        <v>2016</v>
      </c>
      <c r="H108" s="635">
        <f t="shared" si="33"/>
        <v>1603</v>
      </c>
      <c r="I108" s="658">
        <v>12.30616534861055</v>
      </c>
      <c r="J108" s="658">
        <v>11.968441980689891</v>
      </c>
      <c r="K108" s="658">
        <v>10.71220507417266</v>
      </c>
      <c r="L108" s="658" t="s">
        <v>136</v>
      </c>
      <c r="M108" s="663">
        <v>8.5257505978116352</v>
      </c>
      <c r="N108" s="663">
        <v>8.5257505978116352</v>
      </c>
      <c r="O108" s="658"/>
      <c r="P108" s="658"/>
      <c r="Q108" s="658"/>
      <c r="R108" s="658"/>
      <c r="S108" s="658"/>
      <c r="AI108" s="282">
        <v>91</v>
      </c>
      <c r="AJ108" s="43">
        <f t="shared" si="27"/>
        <v>0</v>
      </c>
      <c r="AK108" s="43">
        <f t="shared" si="34"/>
        <v>0</v>
      </c>
      <c r="AL108" s="50">
        <f>Solarstrom!$M$39/12*3*AM107</f>
        <v>0</v>
      </c>
      <c r="AM108" s="49">
        <f t="shared" si="41"/>
        <v>0</v>
      </c>
      <c r="AN108" s="47"/>
      <c r="AO108" s="282"/>
      <c r="AP108" s="282"/>
      <c r="AQ108" s="308"/>
      <c r="AR108" s="308"/>
    </row>
    <row r="109" spans="4:44">
      <c r="D109" s="666">
        <f t="shared" si="35"/>
        <v>0</v>
      </c>
      <c r="E109" s="631">
        <v>35</v>
      </c>
      <c r="F109" s="632">
        <v>4</v>
      </c>
      <c r="G109" s="631">
        <v>2016</v>
      </c>
      <c r="H109" s="635">
        <f t="shared" si="33"/>
        <v>1604</v>
      </c>
      <c r="I109" s="658">
        <v>12.30616534861055</v>
      </c>
      <c r="J109" s="658">
        <v>11.968441980689891</v>
      </c>
      <c r="K109" s="658">
        <v>10.71220507417266</v>
      </c>
      <c r="L109" s="658" t="s">
        <v>136</v>
      </c>
      <c r="M109" s="663">
        <v>8.5257505978116352</v>
      </c>
      <c r="N109" s="663">
        <v>8.5257505978116352</v>
      </c>
      <c r="O109" s="658"/>
      <c r="P109" s="658"/>
      <c r="Q109" s="658"/>
      <c r="R109" s="658"/>
      <c r="S109" s="658"/>
      <c r="AI109" s="282">
        <v>92</v>
      </c>
      <c r="AJ109" s="43">
        <f t="shared" si="27"/>
        <v>0</v>
      </c>
      <c r="AK109" s="43">
        <f t="shared" si="34"/>
        <v>0</v>
      </c>
      <c r="AL109" s="50">
        <f>Solarstrom!$M$39/12*3*AM108</f>
        <v>0</v>
      </c>
      <c r="AM109" s="49">
        <f t="shared" si="41"/>
        <v>0</v>
      </c>
      <c r="AN109" s="47">
        <f>SUM(AJ106:AJ109)</f>
        <v>0</v>
      </c>
      <c r="AO109" s="43">
        <f>SUM(AK106:AK109)</f>
        <v>0</v>
      </c>
      <c r="AP109" s="43">
        <f>SUM(AL106:AL109)</f>
        <v>0</v>
      </c>
      <c r="AQ109" s="308"/>
      <c r="AR109" s="308"/>
    </row>
    <row r="110" spans="4:44">
      <c r="D110" s="666">
        <f t="shared" si="35"/>
        <v>0</v>
      </c>
      <c r="E110" s="631">
        <v>35</v>
      </c>
      <c r="F110" s="632">
        <v>5</v>
      </c>
      <c r="G110" s="631">
        <v>2016</v>
      </c>
      <c r="H110" s="635">
        <f t="shared" si="33"/>
        <v>1605</v>
      </c>
      <c r="I110" s="658">
        <v>12.30616534861055</v>
      </c>
      <c r="J110" s="658">
        <v>11.968441980689891</v>
      </c>
      <c r="K110" s="658">
        <v>10.71220507417266</v>
      </c>
      <c r="L110" s="658" t="s">
        <v>136</v>
      </c>
      <c r="M110" s="663">
        <v>8.5257505978116352</v>
      </c>
      <c r="N110" s="663">
        <v>8.5257505978116352</v>
      </c>
      <c r="O110" s="658"/>
      <c r="P110" s="658"/>
      <c r="Q110" s="658"/>
      <c r="R110" s="658"/>
      <c r="S110" s="658"/>
      <c r="AI110" s="282">
        <v>93</v>
      </c>
      <c r="AJ110" s="43">
        <f t="shared" si="27"/>
        <v>0</v>
      </c>
      <c r="AK110" s="43">
        <f t="shared" si="34"/>
        <v>0</v>
      </c>
      <c r="AL110" s="50">
        <f>Solarstrom!$M$39/12*3*AM109</f>
        <v>0</v>
      </c>
      <c r="AM110" s="49">
        <f t="shared" si="41"/>
        <v>0</v>
      </c>
      <c r="AN110" s="47"/>
      <c r="AO110" s="282"/>
      <c r="AP110" s="282"/>
      <c r="AQ110" s="308"/>
      <c r="AR110" s="308"/>
    </row>
    <row r="111" spans="4:44">
      <c r="D111" s="666">
        <f t="shared" si="35"/>
        <v>0</v>
      </c>
      <c r="E111" s="631">
        <v>35</v>
      </c>
      <c r="F111" s="632">
        <v>6</v>
      </c>
      <c r="G111" s="631">
        <v>2016</v>
      </c>
      <c r="H111" s="635">
        <f t="shared" si="33"/>
        <v>1606</v>
      </c>
      <c r="I111" s="658">
        <v>12.30616534861055</v>
      </c>
      <c r="J111" s="658">
        <v>11.968441980689891</v>
      </c>
      <c r="K111" s="658">
        <v>10.71220507417266</v>
      </c>
      <c r="L111" s="658" t="s">
        <v>136</v>
      </c>
      <c r="M111" s="663">
        <v>8.5257505978116352</v>
      </c>
      <c r="N111" s="663">
        <v>8.5257505978116352</v>
      </c>
      <c r="O111" s="658"/>
      <c r="P111" s="658"/>
      <c r="Q111" s="658"/>
      <c r="R111" s="658"/>
      <c r="S111" s="658"/>
      <c r="AI111" s="282">
        <v>94</v>
      </c>
      <c r="AJ111" s="43">
        <f t="shared" si="27"/>
        <v>0</v>
      </c>
      <c r="AK111" s="43">
        <f t="shared" si="34"/>
        <v>0</v>
      </c>
      <c r="AL111" s="50">
        <f>Solarstrom!$M$39/12*3*AM110</f>
        <v>0</v>
      </c>
      <c r="AM111" s="49">
        <f t="shared" si="41"/>
        <v>0</v>
      </c>
      <c r="AN111" s="47"/>
      <c r="AO111" s="282"/>
      <c r="AP111" s="282"/>
      <c r="AQ111" s="308"/>
      <c r="AR111" s="308"/>
    </row>
    <row r="112" spans="4:44">
      <c r="D112" s="666">
        <f t="shared" si="35"/>
        <v>0</v>
      </c>
      <c r="E112" s="631">
        <v>35</v>
      </c>
      <c r="F112" s="632">
        <v>7</v>
      </c>
      <c r="G112" s="631">
        <v>2016</v>
      </c>
      <c r="H112" s="635">
        <f t="shared" si="33"/>
        <v>1607</v>
      </c>
      <c r="I112" s="658">
        <v>12.30616534861055</v>
      </c>
      <c r="J112" s="658">
        <v>11.968441980689891</v>
      </c>
      <c r="K112" s="658">
        <v>10.71220507417266</v>
      </c>
      <c r="L112" s="658" t="s">
        <v>136</v>
      </c>
      <c r="M112" s="663">
        <v>8.5257505978116352</v>
      </c>
      <c r="N112" s="663">
        <v>8.5257505978116352</v>
      </c>
      <c r="O112" s="658"/>
      <c r="P112" s="658"/>
      <c r="Q112" s="658"/>
      <c r="R112" s="658"/>
      <c r="S112" s="658"/>
      <c r="AI112" s="282">
        <v>95</v>
      </c>
      <c r="AJ112" s="43">
        <f t="shared" si="27"/>
        <v>0</v>
      </c>
      <c r="AK112" s="43">
        <f t="shared" si="34"/>
        <v>0</v>
      </c>
      <c r="AL112" s="50">
        <f>Solarstrom!$M$39/12*3*AM111</f>
        <v>0</v>
      </c>
      <c r="AM112" s="49">
        <f t="shared" si="41"/>
        <v>0</v>
      </c>
      <c r="AN112" s="47"/>
      <c r="AO112" s="282"/>
      <c r="AP112" s="282"/>
      <c r="AQ112" s="308"/>
      <c r="AR112" s="308"/>
    </row>
    <row r="113" spans="4:44">
      <c r="D113" s="666">
        <f t="shared" si="35"/>
        <v>0</v>
      </c>
      <c r="E113" s="631">
        <v>35</v>
      </c>
      <c r="F113" s="632">
        <v>8</v>
      </c>
      <c r="G113" s="631">
        <v>2016</v>
      </c>
      <c r="H113" s="635">
        <f t="shared" si="33"/>
        <v>1608</v>
      </c>
      <c r="I113" s="658">
        <v>12.30616534861055</v>
      </c>
      <c r="J113" s="658">
        <v>11.968441980689891</v>
      </c>
      <c r="K113" s="658">
        <v>10.71220507417266</v>
      </c>
      <c r="L113" s="658" t="s">
        <v>136</v>
      </c>
      <c r="M113" s="663">
        <v>8.5257505978116352</v>
      </c>
      <c r="N113" s="663">
        <v>8.5257505978116352</v>
      </c>
      <c r="O113" s="658"/>
      <c r="P113" s="658"/>
      <c r="Q113" s="658"/>
      <c r="R113" s="658"/>
      <c r="S113" s="658"/>
      <c r="AI113" s="282">
        <v>96</v>
      </c>
      <c r="AJ113" s="43">
        <f t="shared" si="27"/>
        <v>0</v>
      </c>
      <c r="AK113" s="43">
        <f t="shared" si="34"/>
        <v>0</v>
      </c>
      <c r="AL113" s="50">
        <f>Solarstrom!$M$39/12*3*AM112</f>
        <v>0</v>
      </c>
      <c r="AM113" s="49">
        <f t="shared" si="41"/>
        <v>0</v>
      </c>
      <c r="AN113" s="47">
        <f>SUM(AJ110:AJ113)</f>
        <v>0</v>
      </c>
      <c r="AO113" s="43">
        <f>SUM(AK110:AK113)</f>
        <v>0</v>
      </c>
      <c r="AP113" s="43">
        <f>SUM(AL110:AL113)</f>
        <v>0</v>
      </c>
      <c r="AQ113" s="308"/>
      <c r="AR113" s="308"/>
    </row>
    <row r="114" spans="4:44">
      <c r="D114" s="666">
        <f t="shared" si="35"/>
        <v>-3.8083767418095604E-4</v>
      </c>
      <c r="E114" s="631">
        <v>35</v>
      </c>
      <c r="F114" s="632">
        <v>9</v>
      </c>
      <c r="G114" s="631">
        <v>2016</v>
      </c>
      <c r="H114" s="635">
        <f t="shared" si="33"/>
        <v>1609</v>
      </c>
      <c r="I114" s="658">
        <v>12.310852000000001</v>
      </c>
      <c r="J114" s="658">
        <v>11.972906999999999</v>
      </c>
      <c r="K114" s="658">
        <v>10.708028000000001</v>
      </c>
      <c r="L114" s="658" t="s">
        <v>136</v>
      </c>
      <c r="M114" s="663">
        <v>8.5258690000000001</v>
      </c>
      <c r="N114" s="663">
        <v>8.5257505978116352</v>
      </c>
      <c r="O114" s="658"/>
      <c r="P114" s="658"/>
      <c r="Q114" s="658"/>
      <c r="R114" s="658"/>
      <c r="S114" s="658"/>
      <c r="AI114" s="282">
        <v>97</v>
      </c>
      <c r="AJ114" s="43">
        <f t="shared" si="27"/>
        <v>0</v>
      </c>
      <c r="AK114" s="43">
        <f t="shared" si="34"/>
        <v>0</v>
      </c>
      <c r="AL114" s="50">
        <f>Solarstrom!$M$39/12*3*AM113</f>
        <v>0</v>
      </c>
      <c r="AM114" s="49">
        <f t="shared" si="41"/>
        <v>0</v>
      </c>
      <c r="AN114" s="282"/>
      <c r="AO114" s="282"/>
      <c r="AP114" s="282"/>
      <c r="AQ114" s="308"/>
      <c r="AR114" s="308"/>
    </row>
    <row r="115" spans="4:44">
      <c r="D115" s="667">
        <f>Solarstrom!$Q$5</f>
        <v>0</v>
      </c>
      <c r="E115" s="631">
        <v>35</v>
      </c>
      <c r="F115" s="632">
        <v>10</v>
      </c>
      <c r="G115" s="631">
        <v>2016</v>
      </c>
      <c r="H115" s="635">
        <f t="shared" si="33"/>
        <v>1610</v>
      </c>
      <c r="I115" s="658">
        <f>I114*(100-D115)/100</f>
        <v>12.310852000000001</v>
      </c>
      <c r="J115" s="658">
        <f>J114*(100-D115)/100</f>
        <v>11.972906999999999</v>
      </c>
      <c r="K115" s="658">
        <f>K114*(100-D115)/100</f>
        <v>10.708028000000002</v>
      </c>
      <c r="L115" s="658" t="s">
        <v>136</v>
      </c>
      <c r="M115" s="658">
        <f>M114*(100-D115)/100</f>
        <v>8.5258690000000001</v>
      </c>
      <c r="N115" s="663"/>
      <c r="O115" s="658"/>
      <c r="P115" s="658"/>
      <c r="Q115" s="658"/>
      <c r="R115" s="658"/>
      <c r="S115" s="658"/>
      <c r="AI115" s="282">
        <v>98</v>
      </c>
      <c r="AJ115" s="43">
        <f t="shared" si="27"/>
        <v>0</v>
      </c>
      <c r="AK115" s="43">
        <f t="shared" si="34"/>
        <v>0</v>
      </c>
      <c r="AL115" s="50">
        <f>Solarstrom!$M$39/12*3*AM114</f>
        <v>0</v>
      </c>
      <c r="AM115" s="49">
        <f t="shared" si="41"/>
        <v>0</v>
      </c>
      <c r="AN115" s="282"/>
      <c r="AO115" s="282"/>
      <c r="AP115" s="282"/>
      <c r="AQ115" s="308"/>
      <c r="AR115" s="308"/>
    </row>
    <row r="116" spans="4:44">
      <c r="D116" s="667">
        <f>IF(D115&lt;0,0,Solarstrom!$Q$5)</f>
        <v>0</v>
      </c>
      <c r="E116" s="631">
        <v>35</v>
      </c>
      <c r="F116" s="632">
        <v>11</v>
      </c>
      <c r="G116" s="631">
        <v>2016</v>
      </c>
      <c r="H116" s="635">
        <f t="shared" si="33"/>
        <v>1611</v>
      </c>
      <c r="I116" s="658">
        <f t="shared" ref="I116:I153" si="42">I115*(100-D116)/100</f>
        <v>12.310852000000001</v>
      </c>
      <c r="J116" s="658">
        <f t="shared" ref="J116:J153" si="43">J115*(100-D116)/100</f>
        <v>11.972906999999999</v>
      </c>
      <c r="K116" s="658">
        <f>IF(Solarstrom!S6&gt;0,Tabelle1!K115*(1-(Tabelle1!D116/100)),Tabelle1!K115-Tabelle1!D116)</f>
        <v>10.708028000000002</v>
      </c>
      <c r="L116" s="658" t="s">
        <v>136</v>
      </c>
      <c r="M116" s="658">
        <f t="shared" ref="M116:M153" si="44">M115*(100-D116)/100</f>
        <v>8.5258690000000001</v>
      </c>
      <c r="N116" s="663"/>
      <c r="O116" s="658"/>
      <c r="P116" s="658"/>
      <c r="Q116" s="658"/>
      <c r="R116" s="658"/>
      <c r="S116" s="658"/>
      <c r="AI116" s="282">
        <v>99</v>
      </c>
      <c r="AJ116" s="43">
        <f t="shared" si="27"/>
        <v>0</v>
      </c>
      <c r="AK116" s="43">
        <f t="shared" si="34"/>
        <v>0</v>
      </c>
      <c r="AL116" s="50">
        <f>Solarstrom!$M$39/12*3*AM115</f>
        <v>0</v>
      </c>
      <c r="AM116" s="49">
        <f t="shared" si="41"/>
        <v>0</v>
      </c>
      <c r="AN116" s="282"/>
      <c r="AO116" s="282"/>
      <c r="AP116" s="282"/>
      <c r="AQ116" s="308"/>
      <c r="AR116" s="308"/>
    </row>
    <row r="117" spans="4:44">
      <c r="D117" s="667">
        <f>IF(D115&lt;0,0,Solarstrom!$Q$5)</f>
        <v>0</v>
      </c>
      <c r="E117" s="631">
        <v>35</v>
      </c>
      <c r="F117" s="632">
        <v>12</v>
      </c>
      <c r="G117" s="631">
        <v>2016</v>
      </c>
      <c r="H117" s="635">
        <f t="shared" si="33"/>
        <v>1612</v>
      </c>
      <c r="I117" s="658">
        <f t="shared" si="42"/>
        <v>12.310852000000001</v>
      </c>
      <c r="J117" s="658">
        <f t="shared" si="43"/>
        <v>11.972906999999999</v>
      </c>
      <c r="K117" s="658">
        <f>IF(Solarstrom!S7&gt;0,Tabelle1!K116*(1-(Tabelle1!D117/100)),Tabelle1!K116-Tabelle1!D117)</f>
        <v>10.708028000000002</v>
      </c>
      <c r="L117" s="658" t="s">
        <v>136</v>
      </c>
      <c r="M117" s="658">
        <f t="shared" si="44"/>
        <v>8.5258690000000001</v>
      </c>
      <c r="N117" s="663"/>
      <c r="O117" s="658"/>
      <c r="P117" s="658"/>
      <c r="Q117" s="658"/>
      <c r="R117" s="658"/>
      <c r="S117" s="658"/>
      <c r="AI117" s="282">
        <v>100</v>
      </c>
      <c r="AJ117" s="43">
        <f t="shared" si="27"/>
        <v>0</v>
      </c>
      <c r="AK117" s="43">
        <f t="shared" si="34"/>
        <v>0</v>
      </c>
      <c r="AL117" s="50">
        <f>Solarstrom!$M$39/12*3*AM116</f>
        <v>0</v>
      </c>
      <c r="AM117" s="49">
        <f t="shared" si="41"/>
        <v>0</v>
      </c>
      <c r="AN117" s="47">
        <f>SUM(AJ114:AJ117)</f>
        <v>0</v>
      </c>
      <c r="AO117" s="43">
        <f>SUM(AK114:AK117)</f>
        <v>0</v>
      </c>
      <c r="AP117" s="43">
        <f>SUM(AL114:AL117)</f>
        <v>0</v>
      </c>
      <c r="AQ117" s="308"/>
      <c r="AR117" s="308"/>
    </row>
    <row r="118" spans="4:44">
      <c r="D118" s="667">
        <f>Solarstrom!$Q$7</f>
        <v>0</v>
      </c>
      <c r="E118" s="631">
        <v>40</v>
      </c>
      <c r="F118" s="632">
        <v>1</v>
      </c>
      <c r="G118" s="631">
        <v>2017</v>
      </c>
      <c r="H118" s="635">
        <f t="shared" si="33"/>
        <v>1701</v>
      </c>
      <c r="I118" s="658">
        <f t="shared" si="42"/>
        <v>12.310852000000001</v>
      </c>
      <c r="J118" s="658">
        <f t="shared" si="43"/>
        <v>11.972906999999999</v>
      </c>
      <c r="K118" s="658">
        <f>IF(Solarstrom!S8&gt;0,Tabelle1!K117*(1-(Tabelle1!D118/100)),Tabelle1!K117-Tabelle1!D118)</f>
        <v>10.708028000000002</v>
      </c>
      <c r="L118" s="658" t="s">
        <v>136</v>
      </c>
      <c r="M118" s="658">
        <f t="shared" si="44"/>
        <v>8.5258690000000001</v>
      </c>
      <c r="N118" s="663"/>
      <c r="O118" s="658"/>
      <c r="P118" s="658"/>
      <c r="Q118" s="658"/>
      <c r="R118" s="658"/>
      <c r="S118" s="658"/>
      <c r="AQ118" s="308"/>
      <c r="AR118" s="308"/>
    </row>
    <row r="119" spans="4:44">
      <c r="D119" s="667">
        <f>IF(D118&lt;0,0,Solarstrom!$Q$7)</f>
        <v>0</v>
      </c>
      <c r="E119" s="631">
        <v>40</v>
      </c>
      <c r="F119" s="632">
        <v>2</v>
      </c>
      <c r="G119" s="631">
        <v>2017</v>
      </c>
      <c r="H119" s="635">
        <f t="shared" si="33"/>
        <v>1702</v>
      </c>
      <c r="I119" s="658">
        <f t="shared" si="42"/>
        <v>12.310852000000001</v>
      </c>
      <c r="J119" s="658">
        <f t="shared" si="43"/>
        <v>11.972906999999999</v>
      </c>
      <c r="K119" s="658">
        <f>IF(Solarstrom!S9&gt;0,Tabelle1!K118*(1-(Tabelle1!D119/100)),Tabelle1!K118-Tabelle1!D119)</f>
        <v>10.708028000000002</v>
      </c>
      <c r="L119" s="658" t="s">
        <v>136</v>
      </c>
      <c r="M119" s="658">
        <f t="shared" si="44"/>
        <v>8.5258690000000001</v>
      </c>
      <c r="N119" s="663"/>
      <c r="O119" s="658"/>
      <c r="P119" s="658"/>
      <c r="Q119" s="658"/>
      <c r="R119" s="658"/>
      <c r="S119" s="658"/>
      <c r="AQ119" s="308"/>
      <c r="AR119" s="308"/>
    </row>
    <row r="120" spans="4:44">
      <c r="D120" s="667">
        <f>IF(D118&lt;0,0,Solarstrom!$Q$7)</f>
        <v>0</v>
      </c>
      <c r="E120" s="631">
        <v>40</v>
      </c>
      <c r="F120" s="632">
        <v>3</v>
      </c>
      <c r="G120" s="631">
        <v>2017</v>
      </c>
      <c r="H120" s="635">
        <f t="shared" si="33"/>
        <v>1703</v>
      </c>
      <c r="I120" s="658">
        <f t="shared" si="42"/>
        <v>12.310852000000001</v>
      </c>
      <c r="J120" s="658">
        <f t="shared" si="43"/>
        <v>11.972906999999999</v>
      </c>
      <c r="K120" s="658">
        <f>IF(Solarstrom!S10&gt;0,Tabelle1!K119*(1-(Tabelle1!D120/100)),Tabelle1!K119-Tabelle1!D120)</f>
        <v>10.708028000000002</v>
      </c>
      <c r="L120" s="658" t="s">
        <v>136</v>
      </c>
      <c r="M120" s="658">
        <f t="shared" si="44"/>
        <v>8.5258690000000001</v>
      </c>
      <c r="N120" s="663"/>
      <c r="O120" s="658"/>
      <c r="P120" s="658"/>
      <c r="Q120" s="658"/>
      <c r="R120" s="658"/>
      <c r="S120" s="658"/>
      <c r="AQ120" s="308"/>
      <c r="AR120" s="308"/>
    </row>
    <row r="121" spans="4:44">
      <c r="D121" s="667">
        <f>Solarstrom!$Q$9</f>
        <v>0</v>
      </c>
      <c r="E121" s="631">
        <v>40</v>
      </c>
      <c r="F121" s="632">
        <v>4</v>
      </c>
      <c r="G121" s="631">
        <v>2017</v>
      </c>
      <c r="H121" s="635">
        <f t="shared" si="33"/>
        <v>1704</v>
      </c>
      <c r="I121" s="658">
        <f t="shared" si="42"/>
        <v>12.310852000000001</v>
      </c>
      <c r="J121" s="658">
        <f t="shared" si="43"/>
        <v>11.972906999999999</v>
      </c>
      <c r="K121" s="658">
        <f>IF(Solarstrom!S11&gt;0,Tabelle1!K120*(1-(Tabelle1!D121/100)),Tabelle1!K120-Tabelle1!D121)</f>
        <v>10.708028000000002</v>
      </c>
      <c r="L121" s="658" t="s">
        <v>136</v>
      </c>
      <c r="M121" s="658">
        <f t="shared" si="44"/>
        <v>8.5258690000000001</v>
      </c>
      <c r="N121" s="663"/>
      <c r="O121" s="658"/>
      <c r="P121" s="658"/>
      <c r="Q121" s="658"/>
      <c r="R121" s="658"/>
      <c r="S121" s="658"/>
      <c r="AQ121" s="282"/>
      <c r="AR121" s="282"/>
    </row>
    <row r="122" spans="4:44">
      <c r="D122" s="667">
        <f>IF(D121&lt;0,0,Solarstrom!$Q$9)</f>
        <v>0</v>
      </c>
      <c r="E122" s="631">
        <v>40</v>
      </c>
      <c r="F122" s="632">
        <v>5</v>
      </c>
      <c r="G122" s="631">
        <v>2017</v>
      </c>
      <c r="H122" s="635">
        <f t="shared" si="33"/>
        <v>1705</v>
      </c>
      <c r="I122" s="658">
        <f t="shared" si="42"/>
        <v>12.310852000000001</v>
      </c>
      <c r="J122" s="658">
        <f t="shared" si="43"/>
        <v>11.972906999999999</v>
      </c>
      <c r="K122" s="658">
        <f>IF(Solarstrom!S12&gt;0,Tabelle1!K121*(1-(Tabelle1!D122/100)),Tabelle1!K121-Tabelle1!D122)</f>
        <v>10.708028000000002</v>
      </c>
      <c r="L122" s="658" t="s">
        <v>136</v>
      </c>
      <c r="M122" s="658">
        <f t="shared" si="44"/>
        <v>8.5258690000000001</v>
      </c>
      <c r="N122" s="663"/>
      <c r="O122" s="658"/>
      <c r="P122" s="658"/>
      <c r="Q122" s="658"/>
      <c r="R122" s="658"/>
      <c r="S122" s="658"/>
      <c r="AQ122" s="282"/>
      <c r="AR122" s="282"/>
    </row>
    <row r="123" spans="4:44">
      <c r="D123" s="667">
        <f>IF(D121&lt;0,0,Solarstrom!$Q$9)</f>
        <v>0</v>
      </c>
      <c r="E123" s="631">
        <v>40</v>
      </c>
      <c r="F123" s="632">
        <v>6</v>
      </c>
      <c r="G123" s="631">
        <v>2017</v>
      </c>
      <c r="H123" s="635">
        <f t="shared" si="33"/>
        <v>1706</v>
      </c>
      <c r="I123" s="658">
        <f t="shared" si="42"/>
        <v>12.310852000000001</v>
      </c>
      <c r="J123" s="658">
        <f t="shared" si="43"/>
        <v>11.972906999999999</v>
      </c>
      <c r="K123" s="658">
        <f>IF(Solarstrom!S13&gt;0,Tabelle1!K122*(1-(Tabelle1!D123/100)),Tabelle1!K122-Tabelle1!D123)</f>
        <v>10.708028000000002</v>
      </c>
      <c r="L123" s="658" t="s">
        <v>136</v>
      </c>
      <c r="M123" s="658">
        <f t="shared" si="44"/>
        <v>8.5258690000000001</v>
      </c>
      <c r="N123" s="663"/>
      <c r="O123" s="658"/>
      <c r="P123" s="658"/>
      <c r="Q123" s="658"/>
      <c r="R123" s="658"/>
      <c r="S123" s="658"/>
      <c r="AQ123" s="282"/>
      <c r="AR123" s="282"/>
    </row>
    <row r="124" spans="4:44">
      <c r="D124" s="667">
        <f>Solarstrom!$Q$11</f>
        <v>0</v>
      </c>
      <c r="E124" s="631">
        <v>40</v>
      </c>
      <c r="F124" s="632">
        <v>7</v>
      </c>
      <c r="G124" s="631">
        <v>2017</v>
      </c>
      <c r="H124" s="635">
        <f t="shared" si="33"/>
        <v>1707</v>
      </c>
      <c r="I124" s="658">
        <f t="shared" si="42"/>
        <v>12.310852000000001</v>
      </c>
      <c r="J124" s="658">
        <f t="shared" si="43"/>
        <v>11.972906999999999</v>
      </c>
      <c r="K124" s="658">
        <f>IF(Solarstrom!S14&gt;0,Tabelle1!K123*(1-(Tabelle1!D124/100)),Tabelle1!K123-Tabelle1!D124)</f>
        <v>10.708028000000002</v>
      </c>
      <c r="L124" s="658" t="s">
        <v>136</v>
      </c>
      <c r="M124" s="658">
        <f t="shared" si="44"/>
        <v>8.5258690000000001</v>
      </c>
      <c r="N124" s="663"/>
      <c r="O124" s="658"/>
      <c r="P124" s="658"/>
      <c r="Q124" s="658"/>
      <c r="R124" s="658"/>
      <c r="S124" s="658"/>
      <c r="AQ124" s="282"/>
      <c r="AR124" s="282"/>
    </row>
    <row r="125" spans="4:44">
      <c r="D125" s="667">
        <f>IF(D124&lt;0,0,Solarstrom!$Q$11)</f>
        <v>0</v>
      </c>
      <c r="E125" s="631">
        <v>40</v>
      </c>
      <c r="F125" s="632">
        <v>8</v>
      </c>
      <c r="G125" s="631">
        <v>2017</v>
      </c>
      <c r="H125" s="635">
        <f t="shared" si="33"/>
        <v>1708</v>
      </c>
      <c r="I125" s="658">
        <f t="shared" si="42"/>
        <v>12.310852000000001</v>
      </c>
      <c r="J125" s="658">
        <f t="shared" si="43"/>
        <v>11.972906999999999</v>
      </c>
      <c r="K125" s="658">
        <f>IF(Solarstrom!S15&gt;0,Tabelle1!K124*(1-(Tabelle1!D125/100)),Tabelle1!K124-Tabelle1!D125)</f>
        <v>10.708028000000002</v>
      </c>
      <c r="L125" s="658" t="s">
        <v>136</v>
      </c>
      <c r="M125" s="658">
        <f t="shared" si="44"/>
        <v>8.5258690000000001</v>
      </c>
      <c r="N125" s="663"/>
      <c r="O125" s="658"/>
      <c r="P125" s="658"/>
      <c r="Q125" s="658"/>
      <c r="R125" s="658"/>
      <c r="S125" s="658"/>
      <c r="AQ125" s="282"/>
      <c r="AR125" s="282"/>
    </row>
    <row r="126" spans="4:44">
      <c r="D126" s="667">
        <f>IF(D124&lt;0,0,Solarstrom!$Q$11)</f>
        <v>0</v>
      </c>
      <c r="E126" s="631">
        <v>40</v>
      </c>
      <c r="F126" s="632">
        <v>9</v>
      </c>
      <c r="G126" s="631">
        <v>2017</v>
      </c>
      <c r="H126" s="635">
        <f t="shared" si="33"/>
        <v>1709</v>
      </c>
      <c r="I126" s="658">
        <f t="shared" si="42"/>
        <v>12.310852000000001</v>
      </c>
      <c r="J126" s="658">
        <f t="shared" si="43"/>
        <v>11.972906999999999</v>
      </c>
      <c r="K126" s="658">
        <f>IF(Solarstrom!S16&gt;0,Tabelle1!K125*(1-(Tabelle1!D126/100)),Tabelle1!K125-Tabelle1!D126)</f>
        <v>10.708028000000002</v>
      </c>
      <c r="L126" s="658" t="s">
        <v>136</v>
      </c>
      <c r="M126" s="658">
        <f t="shared" si="44"/>
        <v>8.5258690000000001</v>
      </c>
      <c r="N126" s="663"/>
      <c r="O126" s="658"/>
      <c r="P126" s="658"/>
      <c r="Q126" s="658"/>
      <c r="R126" s="658"/>
      <c r="S126" s="658"/>
      <c r="AQ126" s="33"/>
      <c r="AR126" s="33"/>
    </row>
    <row r="127" spans="4:44">
      <c r="D127" s="667">
        <f>Solarstrom!$Q$13</f>
        <v>0</v>
      </c>
      <c r="E127" s="631">
        <v>40</v>
      </c>
      <c r="F127" s="632">
        <v>10</v>
      </c>
      <c r="G127" s="631">
        <v>2017</v>
      </c>
      <c r="H127" s="635">
        <f t="shared" si="33"/>
        <v>1710</v>
      </c>
      <c r="I127" s="658">
        <f t="shared" si="42"/>
        <v>12.310852000000001</v>
      </c>
      <c r="J127" s="658">
        <f t="shared" si="43"/>
        <v>11.972906999999999</v>
      </c>
      <c r="K127" s="658">
        <f>IF(Solarstrom!S17&gt;0,Tabelle1!K126*(1-(Tabelle1!D127/100)),Tabelle1!K126-Tabelle1!D127)</f>
        <v>10.708028000000002</v>
      </c>
      <c r="L127" s="658" t="s">
        <v>136</v>
      </c>
      <c r="M127" s="658">
        <f t="shared" si="44"/>
        <v>8.5258690000000001</v>
      </c>
      <c r="N127" s="663"/>
      <c r="O127" s="658"/>
      <c r="P127" s="658"/>
      <c r="Q127" s="658"/>
      <c r="R127" s="658"/>
      <c r="S127" s="658"/>
      <c r="AQ127" s="33"/>
      <c r="AR127" s="33"/>
    </row>
    <row r="128" spans="4:44">
      <c r="D128" s="667">
        <f>IF(D127&lt;0,0,Solarstrom!$Q$13)</f>
        <v>0</v>
      </c>
      <c r="E128" s="631">
        <v>40</v>
      </c>
      <c r="F128" s="632">
        <v>11</v>
      </c>
      <c r="G128" s="631">
        <v>2017</v>
      </c>
      <c r="H128" s="635">
        <f t="shared" si="33"/>
        <v>1711</v>
      </c>
      <c r="I128" s="658">
        <f t="shared" si="42"/>
        <v>12.310852000000001</v>
      </c>
      <c r="J128" s="658">
        <f t="shared" si="43"/>
        <v>11.972906999999999</v>
      </c>
      <c r="K128" s="658">
        <f>IF(Solarstrom!S18&gt;0,Tabelle1!K127*(1-(Tabelle1!D128/100)),Tabelle1!K127-Tabelle1!D128)</f>
        <v>10.708028000000002</v>
      </c>
      <c r="L128" s="658" t="s">
        <v>136</v>
      </c>
      <c r="M128" s="658">
        <f t="shared" si="44"/>
        <v>8.5258690000000001</v>
      </c>
      <c r="N128" s="663"/>
      <c r="O128" s="658"/>
      <c r="P128" s="658"/>
      <c r="Q128" s="658"/>
      <c r="R128" s="658"/>
      <c r="S128" s="658"/>
      <c r="AQ128" s="282"/>
      <c r="AR128" s="282"/>
    </row>
    <row r="129" spans="4:44" ht="15.75">
      <c r="D129" s="667">
        <f>IF(D127&lt;0,0,Solarstrom!$Q$13)</f>
        <v>0</v>
      </c>
      <c r="E129" s="631">
        <v>40</v>
      </c>
      <c r="F129" s="632">
        <v>12</v>
      </c>
      <c r="G129" s="631">
        <v>2017</v>
      </c>
      <c r="H129" s="635">
        <f t="shared" si="33"/>
        <v>1712</v>
      </c>
      <c r="I129" s="658">
        <f t="shared" si="42"/>
        <v>12.310852000000001</v>
      </c>
      <c r="J129" s="658">
        <f t="shared" si="43"/>
        <v>11.972906999999999</v>
      </c>
      <c r="K129" s="658">
        <f>IF(Solarstrom!S19&gt;0,Tabelle1!K128*(1-(Tabelle1!D129/100)),Tabelle1!K128-Tabelle1!D129)</f>
        <v>10.708028000000002</v>
      </c>
      <c r="L129" s="658" t="s">
        <v>136</v>
      </c>
      <c r="M129" s="658">
        <f t="shared" si="44"/>
        <v>8.5258690000000001</v>
      </c>
      <c r="N129" s="663"/>
      <c r="O129" s="658"/>
      <c r="P129" s="658"/>
      <c r="Q129" s="658"/>
      <c r="R129" s="658"/>
      <c r="S129" s="658"/>
      <c r="AQ129" s="45" t="e">
        <f>VLOOKUP(Bonusjahre,AS130:AS139,1,0)</f>
        <v>#REF!</v>
      </c>
      <c r="AR129" s="45" t="e">
        <f>VLOOKUP(AQ129,AS130:AU139,3,0)</f>
        <v>#REF!</v>
      </c>
    </row>
    <row r="130" spans="4:44" ht="15.75">
      <c r="D130" s="667">
        <f>Solarstrom!$Q$15</f>
        <v>0</v>
      </c>
      <c r="F130" s="632">
        <v>1</v>
      </c>
      <c r="G130" s="631">
        <v>2018</v>
      </c>
      <c r="H130" s="635">
        <f t="shared" si="33"/>
        <v>1801</v>
      </c>
      <c r="I130" s="658">
        <f t="shared" si="42"/>
        <v>12.310852000000001</v>
      </c>
      <c r="J130" s="658">
        <f t="shared" si="43"/>
        <v>11.972906999999999</v>
      </c>
      <c r="K130" s="658">
        <f>IF(Solarstrom!S20&gt;0,Tabelle1!K129*(1-(Tabelle1!D130/100)),Tabelle1!K129-Tabelle1!D130)</f>
        <v>10.708028000000002</v>
      </c>
      <c r="L130" s="658" t="s">
        <v>136</v>
      </c>
      <c r="M130" s="658">
        <f t="shared" si="44"/>
        <v>8.5258690000000001</v>
      </c>
      <c r="N130" s="663"/>
      <c r="O130" s="658"/>
      <c r="P130" s="658"/>
      <c r="Q130" s="658"/>
      <c r="R130" s="658"/>
      <c r="S130" s="658"/>
      <c r="AQ130" s="45"/>
      <c r="AR130" s="45"/>
    </row>
    <row r="131" spans="4:44" ht="15.75">
      <c r="D131" s="667">
        <f>IF(D130&lt;0,0,Solarstrom!$Q$15)</f>
        <v>0</v>
      </c>
      <c r="F131" s="632">
        <v>2</v>
      </c>
      <c r="G131" s="631">
        <v>2018</v>
      </c>
      <c r="H131" s="635">
        <f t="shared" si="33"/>
        <v>1802</v>
      </c>
      <c r="I131" s="658">
        <f t="shared" si="42"/>
        <v>12.310852000000001</v>
      </c>
      <c r="J131" s="658">
        <f t="shared" si="43"/>
        <v>11.972906999999999</v>
      </c>
      <c r="K131" s="658">
        <f>IF(Solarstrom!S21&gt;0,Tabelle1!K130*(1-(Tabelle1!D131/100)),Tabelle1!K130-Tabelle1!D131)</f>
        <v>10.708028000000002</v>
      </c>
      <c r="L131" s="658" t="s">
        <v>136</v>
      </c>
      <c r="M131" s="658">
        <f t="shared" si="44"/>
        <v>8.5258690000000001</v>
      </c>
      <c r="N131" s="663"/>
      <c r="O131" s="658"/>
      <c r="P131" s="658"/>
      <c r="Q131" s="658"/>
      <c r="R131" s="658"/>
      <c r="S131" s="658"/>
      <c r="AQ131" s="45"/>
      <c r="AR131" s="65"/>
    </row>
    <row r="132" spans="4:44" ht="15.75">
      <c r="D132" s="667">
        <f>IF(D130&lt;0,0,Solarstrom!$Q$15)</f>
        <v>0</v>
      </c>
      <c r="F132" s="632">
        <v>3</v>
      </c>
      <c r="G132" s="631">
        <v>2018</v>
      </c>
      <c r="H132" s="635">
        <f t="shared" si="33"/>
        <v>1803</v>
      </c>
      <c r="I132" s="658">
        <f t="shared" si="42"/>
        <v>12.310852000000001</v>
      </c>
      <c r="J132" s="658">
        <f t="shared" si="43"/>
        <v>11.972906999999999</v>
      </c>
      <c r="K132" s="658">
        <f>IF(Solarstrom!S22&gt;0,Tabelle1!K131*(1-(Tabelle1!D132/100)),Tabelle1!K131-Tabelle1!D132)</f>
        <v>10.708028000000002</v>
      </c>
      <c r="L132" s="658" t="s">
        <v>136</v>
      </c>
      <c r="M132" s="658">
        <f t="shared" si="44"/>
        <v>8.5258690000000001</v>
      </c>
      <c r="N132" s="663"/>
      <c r="O132" s="658"/>
      <c r="P132" s="658"/>
      <c r="Q132" s="658"/>
      <c r="R132" s="658"/>
      <c r="S132" s="658"/>
      <c r="AQ132" s="45"/>
      <c r="AR132" s="65"/>
    </row>
    <row r="133" spans="4:44" ht="15.75">
      <c r="D133" s="667">
        <f>Solarstrom!$Q$17</f>
        <v>0</v>
      </c>
      <c r="F133" s="632">
        <v>4</v>
      </c>
      <c r="G133" s="631">
        <v>2018</v>
      </c>
      <c r="H133" s="635">
        <f t="shared" si="33"/>
        <v>1804</v>
      </c>
      <c r="I133" s="658">
        <f t="shared" si="42"/>
        <v>12.310852000000001</v>
      </c>
      <c r="J133" s="658">
        <f t="shared" si="43"/>
        <v>11.972906999999999</v>
      </c>
      <c r="K133" s="658">
        <f>IF(Solarstrom!S23&gt;0,Tabelle1!K132*(1-(Tabelle1!D133/100)),Tabelle1!K132-Tabelle1!D133)</f>
        <v>10.708028000000002</v>
      </c>
      <c r="L133" s="658" t="s">
        <v>136</v>
      </c>
      <c r="M133" s="658">
        <f t="shared" si="44"/>
        <v>8.5258690000000001</v>
      </c>
      <c r="N133" s="663"/>
      <c r="O133" s="658"/>
      <c r="P133" s="658"/>
      <c r="Q133" s="658"/>
      <c r="R133" s="658"/>
      <c r="S133" s="658"/>
      <c r="AQ133" s="45"/>
      <c r="AR133" s="65"/>
    </row>
    <row r="134" spans="4:44" ht="15.75">
      <c r="D134" s="667">
        <f>IF(D133&lt;0,0,Solarstrom!$Q$17)</f>
        <v>0</v>
      </c>
      <c r="F134" s="632">
        <v>5</v>
      </c>
      <c r="G134" s="631">
        <v>2018</v>
      </c>
      <c r="H134" s="635">
        <f t="shared" si="33"/>
        <v>1805</v>
      </c>
      <c r="I134" s="658">
        <f t="shared" si="42"/>
        <v>12.310852000000001</v>
      </c>
      <c r="J134" s="658">
        <f t="shared" si="43"/>
        <v>11.972906999999999</v>
      </c>
      <c r="K134" s="658">
        <f>IF(Solarstrom!S24&gt;0,Tabelle1!K133*(1-(Tabelle1!D134/100)),Tabelle1!K133-Tabelle1!D134)</f>
        <v>10.708028000000002</v>
      </c>
      <c r="L134" s="658" t="s">
        <v>136</v>
      </c>
      <c r="M134" s="658">
        <f t="shared" si="44"/>
        <v>8.5258690000000001</v>
      </c>
      <c r="N134" s="663"/>
      <c r="O134" s="658"/>
      <c r="P134" s="658"/>
      <c r="Q134" s="658"/>
      <c r="R134" s="658"/>
      <c r="S134" s="658"/>
      <c r="AQ134" s="45"/>
      <c r="AR134" s="65"/>
    </row>
    <row r="135" spans="4:44" ht="15.75">
      <c r="D135" s="667">
        <f>IF(D133&lt;0,0,Solarstrom!$Q$17)</f>
        <v>0</v>
      </c>
      <c r="F135" s="632">
        <v>6</v>
      </c>
      <c r="G135" s="631">
        <v>2018</v>
      </c>
      <c r="H135" s="635">
        <f t="shared" si="33"/>
        <v>1806</v>
      </c>
      <c r="I135" s="658">
        <f t="shared" si="42"/>
        <v>12.310852000000001</v>
      </c>
      <c r="J135" s="658">
        <f t="shared" si="43"/>
        <v>11.972906999999999</v>
      </c>
      <c r="K135" s="658">
        <f>IF(Solarstrom!S25&gt;0,Tabelle1!K134*(1-(Tabelle1!D135/100)),Tabelle1!K134-Tabelle1!D135)</f>
        <v>10.708028000000002</v>
      </c>
      <c r="L135" s="658" t="s">
        <v>136</v>
      </c>
      <c r="M135" s="658">
        <f t="shared" si="44"/>
        <v>8.5258690000000001</v>
      </c>
      <c r="N135" s="663"/>
      <c r="O135" s="658"/>
      <c r="P135" s="658"/>
      <c r="Q135" s="658"/>
      <c r="R135" s="658"/>
      <c r="S135" s="658"/>
      <c r="AQ135" s="45"/>
      <c r="AR135" s="65"/>
    </row>
    <row r="136" spans="4:44" ht="15.75">
      <c r="D136" s="667">
        <f>Solarstrom!$Q$19</f>
        <v>0</v>
      </c>
      <c r="F136" s="632">
        <v>7</v>
      </c>
      <c r="G136" s="631">
        <v>2018</v>
      </c>
      <c r="H136" s="635">
        <f t="shared" si="33"/>
        <v>1807</v>
      </c>
      <c r="I136" s="658">
        <f t="shared" si="42"/>
        <v>12.310852000000001</v>
      </c>
      <c r="J136" s="658">
        <f t="shared" si="43"/>
        <v>11.972906999999999</v>
      </c>
      <c r="K136" s="658">
        <f>IF(Solarstrom!S26&gt;0,Tabelle1!K135*(1-(Tabelle1!D136/100)),Tabelle1!K135-Tabelle1!D136)</f>
        <v>10.708028000000002</v>
      </c>
      <c r="L136" s="658" t="s">
        <v>136</v>
      </c>
      <c r="M136" s="658">
        <f t="shared" si="44"/>
        <v>8.5258690000000001</v>
      </c>
      <c r="N136" s="663"/>
      <c r="O136" s="658"/>
      <c r="P136" s="658"/>
      <c r="Q136" s="658"/>
      <c r="R136" s="658"/>
      <c r="S136" s="658"/>
      <c r="AQ136" s="45"/>
      <c r="AR136" s="65"/>
    </row>
    <row r="137" spans="4:44" ht="15.75">
      <c r="D137" s="667">
        <f>IF(D136&lt;0,0,Solarstrom!$Q$19)</f>
        <v>0</v>
      </c>
      <c r="F137" s="632">
        <v>8</v>
      </c>
      <c r="G137" s="631">
        <v>2018</v>
      </c>
      <c r="H137" s="635">
        <f t="shared" si="33"/>
        <v>1808</v>
      </c>
      <c r="I137" s="658">
        <f t="shared" si="42"/>
        <v>12.310852000000001</v>
      </c>
      <c r="J137" s="658">
        <f t="shared" si="43"/>
        <v>11.972906999999999</v>
      </c>
      <c r="K137" s="658">
        <f>IF(Solarstrom!S27&gt;0,Tabelle1!K136*(1-(Tabelle1!D137/100)),Tabelle1!K136-Tabelle1!D137)</f>
        <v>10.708028000000002</v>
      </c>
      <c r="L137" s="658" t="s">
        <v>136</v>
      </c>
      <c r="M137" s="658">
        <f t="shared" si="44"/>
        <v>8.5258690000000001</v>
      </c>
      <c r="N137" s="663"/>
      <c r="O137" s="658"/>
      <c r="P137" s="658"/>
      <c r="Q137" s="658"/>
      <c r="R137" s="658"/>
      <c r="S137" s="658"/>
      <c r="AQ137" s="45"/>
      <c r="AR137" s="65"/>
    </row>
    <row r="138" spans="4:44" ht="15.75">
      <c r="D138" s="667">
        <f>IF(D136&lt;0,0,Solarstrom!$Q$19)</f>
        <v>0</v>
      </c>
      <c r="F138" s="632">
        <v>9</v>
      </c>
      <c r="G138" s="631">
        <v>2018</v>
      </c>
      <c r="H138" s="635">
        <f t="shared" si="33"/>
        <v>1809</v>
      </c>
      <c r="I138" s="658">
        <f t="shared" si="42"/>
        <v>12.310852000000001</v>
      </c>
      <c r="J138" s="658">
        <f t="shared" si="43"/>
        <v>11.972906999999999</v>
      </c>
      <c r="K138" s="658">
        <f>IF(Solarstrom!S28&gt;0,Tabelle1!K137*(1-(Tabelle1!D138/100)),Tabelle1!K137-Tabelle1!D138)</f>
        <v>10.708028000000002</v>
      </c>
      <c r="L138" s="658" t="s">
        <v>136</v>
      </c>
      <c r="M138" s="658">
        <f t="shared" si="44"/>
        <v>8.5258690000000001</v>
      </c>
      <c r="N138" s="663"/>
      <c r="O138" s="658"/>
      <c r="P138" s="658"/>
      <c r="Q138" s="658"/>
      <c r="R138" s="658"/>
      <c r="S138" s="658"/>
      <c r="AQ138" s="45"/>
      <c r="AR138" s="45"/>
    </row>
    <row r="139" spans="4:44" ht="15.75">
      <c r="D139" s="667">
        <f>Solarstrom!$Q$21</f>
        <v>0</v>
      </c>
      <c r="F139" s="632">
        <v>10</v>
      </c>
      <c r="G139" s="631">
        <v>2018</v>
      </c>
      <c r="H139" s="635">
        <f t="shared" si="33"/>
        <v>1810</v>
      </c>
      <c r="I139" s="658">
        <f t="shared" si="42"/>
        <v>12.310852000000001</v>
      </c>
      <c r="J139" s="658">
        <f t="shared" si="43"/>
        <v>11.972906999999999</v>
      </c>
      <c r="K139" s="658">
        <f>IF(Solarstrom!S29&gt;0,Tabelle1!K138*(1-(Tabelle1!D139/100)),Tabelle1!K138-Tabelle1!D139)</f>
        <v>10.708028000000002</v>
      </c>
      <c r="L139" s="658" t="s">
        <v>136</v>
      </c>
      <c r="M139" s="658">
        <f t="shared" si="44"/>
        <v>8.5258690000000001</v>
      </c>
      <c r="N139" s="663"/>
      <c r="O139" s="658"/>
      <c r="P139" s="658"/>
      <c r="Q139" s="658"/>
      <c r="R139" s="658"/>
      <c r="S139" s="658"/>
      <c r="AQ139" s="45"/>
      <c r="AR139" s="45"/>
    </row>
    <row r="140" spans="4:44" ht="15.75">
      <c r="D140" s="667">
        <f>IF(D139&lt;0,0,Solarstrom!$Q$21)</f>
        <v>0</v>
      </c>
      <c r="F140" s="632">
        <v>11</v>
      </c>
      <c r="G140" s="631">
        <v>2018</v>
      </c>
      <c r="H140" s="635">
        <f t="shared" si="33"/>
        <v>1811</v>
      </c>
      <c r="I140" s="658">
        <f t="shared" si="42"/>
        <v>12.310852000000001</v>
      </c>
      <c r="J140" s="658">
        <f t="shared" si="43"/>
        <v>11.972906999999999</v>
      </c>
      <c r="K140" s="658">
        <f>IF(Solarstrom!S30&gt;0,Tabelle1!K139*(1-(Tabelle1!D140/100)),Tabelle1!K139-Tabelle1!D140)</f>
        <v>10.708028000000002</v>
      </c>
      <c r="L140" s="658" t="s">
        <v>136</v>
      </c>
      <c r="M140" s="658">
        <f t="shared" si="44"/>
        <v>8.5258690000000001</v>
      </c>
      <c r="N140" s="663"/>
      <c r="O140" s="658"/>
      <c r="P140" s="658"/>
      <c r="Q140" s="658"/>
      <c r="R140" s="658"/>
      <c r="S140" s="658"/>
      <c r="AQ140" s="45"/>
      <c r="AR140" s="45"/>
    </row>
    <row r="141" spans="4:44">
      <c r="D141" s="667">
        <f>IF(D139&lt;0,0,Solarstrom!$Q$21)</f>
        <v>0</v>
      </c>
      <c r="F141" s="632">
        <v>12</v>
      </c>
      <c r="G141" s="631">
        <v>2018</v>
      </c>
      <c r="H141" s="635">
        <f t="shared" si="33"/>
        <v>1812</v>
      </c>
      <c r="I141" s="658">
        <f t="shared" si="42"/>
        <v>12.310852000000001</v>
      </c>
      <c r="J141" s="658">
        <f t="shared" si="43"/>
        <v>11.972906999999999</v>
      </c>
      <c r="K141" s="658">
        <f>IF(Solarstrom!S31&gt;0,Tabelle1!K140*(1-(Tabelle1!D141/100)),Tabelle1!K140-Tabelle1!D141)</f>
        <v>10.708028000000002</v>
      </c>
      <c r="L141" s="658" t="s">
        <v>136</v>
      </c>
      <c r="M141" s="658">
        <f t="shared" si="44"/>
        <v>8.5258690000000001</v>
      </c>
      <c r="N141" s="663"/>
      <c r="O141" s="658"/>
      <c r="P141" s="658"/>
      <c r="Q141" s="658"/>
      <c r="R141" s="658"/>
      <c r="S141" s="658"/>
      <c r="AQ141" s="282"/>
      <c r="AR141" s="282"/>
    </row>
    <row r="142" spans="4:44">
      <c r="D142" s="667">
        <f>Solarstrom!$Q$23</f>
        <v>0</v>
      </c>
      <c r="F142" s="632">
        <v>1</v>
      </c>
      <c r="G142" s="631">
        <v>2018</v>
      </c>
      <c r="H142" s="635">
        <f t="shared" si="33"/>
        <v>1801</v>
      </c>
      <c r="I142" s="658">
        <f t="shared" si="42"/>
        <v>12.310852000000001</v>
      </c>
      <c r="J142" s="658">
        <f t="shared" si="43"/>
        <v>11.972906999999999</v>
      </c>
      <c r="K142" s="658">
        <f>IF(Solarstrom!S32&gt;0,Tabelle1!K141*(1-(Tabelle1!D142/100)),Tabelle1!K141-Tabelle1!D142)</f>
        <v>10.708028000000002</v>
      </c>
      <c r="L142" s="658" t="s">
        <v>136</v>
      </c>
      <c r="M142" s="658">
        <f t="shared" si="44"/>
        <v>8.5258690000000001</v>
      </c>
      <c r="N142" s="658"/>
      <c r="O142" s="658"/>
      <c r="P142" s="658"/>
      <c r="Q142" s="658"/>
      <c r="R142" s="658"/>
      <c r="S142" s="658"/>
      <c r="AQ142" s="282"/>
      <c r="AR142" s="282"/>
    </row>
    <row r="143" spans="4:44">
      <c r="D143" s="667">
        <f>Solarstrom!$Q$23</f>
        <v>0</v>
      </c>
      <c r="F143" s="632">
        <v>2</v>
      </c>
      <c r="G143" s="631">
        <v>2018</v>
      </c>
      <c r="H143" s="635">
        <f t="shared" si="33"/>
        <v>1802</v>
      </c>
      <c r="I143" s="658">
        <f t="shared" si="42"/>
        <v>12.310852000000001</v>
      </c>
      <c r="J143" s="658">
        <f t="shared" si="43"/>
        <v>11.972906999999999</v>
      </c>
      <c r="K143" s="658">
        <f>IF(Solarstrom!S33&gt;0,Tabelle1!K142*(1-(Tabelle1!D143/100)),Tabelle1!K142-Tabelle1!D143)</f>
        <v>10.708028000000002</v>
      </c>
      <c r="L143" s="658" t="s">
        <v>136</v>
      </c>
      <c r="M143" s="658">
        <f t="shared" si="44"/>
        <v>8.5258690000000001</v>
      </c>
      <c r="N143" s="658"/>
      <c r="O143" s="658"/>
      <c r="P143" s="658"/>
      <c r="Q143" s="658"/>
      <c r="R143" s="658"/>
      <c r="S143" s="658"/>
      <c r="AQ143" s="282"/>
      <c r="AR143" s="282"/>
    </row>
    <row r="144" spans="4:44">
      <c r="D144" s="667">
        <f>Solarstrom!$Q$23</f>
        <v>0</v>
      </c>
      <c r="F144" s="632">
        <v>3</v>
      </c>
      <c r="G144" s="631">
        <v>2018</v>
      </c>
      <c r="H144" s="635">
        <f t="shared" si="33"/>
        <v>1803</v>
      </c>
      <c r="I144" s="658">
        <f t="shared" si="42"/>
        <v>12.310852000000001</v>
      </c>
      <c r="J144" s="658">
        <f t="shared" si="43"/>
        <v>11.972906999999999</v>
      </c>
      <c r="K144" s="658">
        <f>IF(Solarstrom!S34&gt;0,Tabelle1!K143*(1-(Tabelle1!D144/100)),Tabelle1!K143-Tabelle1!D144)</f>
        <v>10.708028000000002</v>
      </c>
      <c r="L144" s="658" t="s">
        <v>136</v>
      </c>
      <c r="M144" s="658">
        <f t="shared" si="44"/>
        <v>8.5258690000000001</v>
      </c>
      <c r="N144" s="658"/>
      <c r="O144" s="658"/>
      <c r="P144" s="658"/>
      <c r="Q144" s="658"/>
      <c r="R144" s="658"/>
      <c r="S144" s="658"/>
      <c r="AQ144" s="282"/>
      <c r="AR144" s="282"/>
    </row>
    <row r="145" spans="4:44">
      <c r="D145" s="667">
        <f>Solarstrom!$Q$25</f>
        <v>0</v>
      </c>
      <c r="F145" s="632">
        <v>4</v>
      </c>
      <c r="G145" s="631">
        <v>2018</v>
      </c>
      <c r="H145" s="635">
        <f t="shared" si="33"/>
        <v>1804</v>
      </c>
      <c r="I145" s="658">
        <f t="shared" si="42"/>
        <v>12.310852000000001</v>
      </c>
      <c r="J145" s="658">
        <f t="shared" si="43"/>
        <v>11.972906999999999</v>
      </c>
      <c r="K145" s="658">
        <f>IF(Solarstrom!S35&gt;0,Tabelle1!K144*(1-(Tabelle1!D145/100)),Tabelle1!K144-Tabelle1!D145)</f>
        <v>10.708028000000002</v>
      </c>
      <c r="L145" s="658" t="s">
        <v>136</v>
      </c>
      <c r="M145" s="658">
        <f t="shared" si="44"/>
        <v>8.5258690000000001</v>
      </c>
      <c r="N145" s="658"/>
      <c r="O145" s="658"/>
      <c r="P145" s="658"/>
      <c r="Q145" s="658"/>
      <c r="R145" s="658"/>
      <c r="S145" s="658"/>
      <c r="AQ145" s="282"/>
      <c r="AR145" s="282"/>
    </row>
    <row r="146" spans="4:44">
      <c r="D146" s="667">
        <f>Solarstrom!$Q$25</f>
        <v>0</v>
      </c>
      <c r="F146" s="632">
        <v>5</v>
      </c>
      <c r="G146" s="631">
        <v>2018</v>
      </c>
      <c r="H146" s="635">
        <f t="shared" si="33"/>
        <v>1805</v>
      </c>
      <c r="I146" s="658">
        <f t="shared" si="42"/>
        <v>12.310852000000001</v>
      </c>
      <c r="J146" s="658">
        <f t="shared" si="43"/>
        <v>11.972906999999999</v>
      </c>
      <c r="K146" s="658">
        <f>IF(Solarstrom!S36&gt;0,Tabelle1!K145*(1-(Tabelle1!D146/100)),Tabelle1!K145-Tabelle1!D146)</f>
        <v>10.708028000000002</v>
      </c>
      <c r="L146" s="658" t="s">
        <v>136</v>
      </c>
      <c r="M146" s="658">
        <f t="shared" si="44"/>
        <v>8.5258690000000001</v>
      </c>
      <c r="N146" s="658"/>
      <c r="O146" s="658"/>
      <c r="P146" s="658"/>
      <c r="Q146" s="658"/>
      <c r="R146" s="658"/>
      <c r="S146" s="658"/>
      <c r="AQ146" s="282"/>
      <c r="AR146" s="282"/>
    </row>
    <row r="147" spans="4:44">
      <c r="D147" s="667">
        <f>Solarstrom!$Q$25</f>
        <v>0</v>
      </c>
      <c r="F147" s="632">
        <v>6</v>
      </c>
      <c r="G147" s="631">
        <v>2018</v>
      </c>
      <c r="H147" s="635">
        <f t="shared" si="33"/>
        <v>1806</v>
      </c>
      <c r="I147" s="658">
        <f t="shared" si="42"/>
        <v>12.310852000000001</v>
      </c>
      <c r="J147" s="658">
        <f t="shared" si="43"/>
        <v>11.972906999999999</v>
      </c>
      <c r="K147" s="658">
        <f>IF(Solarstrom!S37&gt;0,Tabelle1!K146*(1-(Tabelle1!D147/100)),Tabelle1!K146-Tabelle1!D147)</f>
        <v>10.708028000000002</v>
      </c>
      <c r="L147" s="658" t="s">
        <v>136</v>
      </c>
      <c r="M147" s="658">
        <f t="shared" si="44"/>
        <v>8.5258690000000001</v>
      </c>
      <c r="N147" s="658"/>
      <c r="O147" s="658"/>
      <c r="P147" s="658"/>
      <c r="Q147" s="658"/>
      <c r="R147" s="658"/>
      <c r="S147" s="658"/>
      <c r="AQ147" s="282"/>
      <c r="AR147" s="282"/>
    </row>
    <row r="148" spans="4:44">
      <c r="D148" s="667">
        <f>Solarstrom!$Q$25</f>
        <v>0</v>
      </c>
      <c r="F148" s="632">
        <v>7</v>
      </c>
      <c r="G148" s="631">
        <v>2018</v>
      </c>
      <c r="H148" s="635">
        <f t="shared" ref="H148:H153" si="45">RIGHT(G148,2)*100+F148</f>
        <v>1807</v>
      </c>
      <c r="I148" s="658">
        <f t="shared" si="42"/>
        <v>12.310852000000001</v>
      </c>
      <c r="J148" s="658">
        <f t="shared" si="43"/>
        <v>11.972906999999999</v>
      </c>
      <c r="K148" s="658">
        <f>IF(Solarstrom!S38&gt;0,Tabelle1!K147*(1-(Tabelle1!D148/100)),Tabelle1!K147-Tabelle1!D148)</f>
        <v>10.708028000000002</v>
      </c>
      <c r="L148" s="658" t="s">
        <v>136</v>
      </c>
      <c r="M148" s="658">
        <f t="shared" si="44"/>
        <v>8.5258690000000001</v>
      </c>
      <c r="N148" s="658"/>
      <c r="O148" s="658"/>
      <c r="P148" s="658"/>
      <c r="Q148" s="658"/>
      <c r="R148" s="658"/>
      <c r="S148" s="658"/>
      <c r="AQ148" s="282"/>
      <c r="AR148" s="282"/>
    </row>
    <row r="149" spans="4:44">
      <c r="D149" s="667">
        <f>Solarstrom!$Q$25</f>
        <v>0</v>
      </c>
      <c r="F149" s="632">
        <v>8</v>
      </c>
      <c r="G149" s="631">
        <v>2018</v>
      </c>
      <c r="H149" s="635">
        <f t="shared" si="45"/>
        <v>1808</v>
      </c>
      <c r="I149" s="658">
        <f t="shared" si="42"/>
        <v>12.310852000000001</v>
      </c>
      <c r="J149" s="658">
        <f t="shared" si="43"/>
        <v>11.972906999999999</v>
      </c>
      <c r="K149" s="658">
        <f>IF(Solarstrom!S39&gt;0,Tabelle1!K148*(1-(Tabelle1!D149/100)),Tabelle1!K148-Tabelle1!D149)</f>
        <v>10.708028000000002</v>
      </c>
      <c r="L149" s="658" t="s">
        <v>136</v>
      </c>
      <c r="M149" s="658">
        <f t="shared" si="44"/>
        <v>8.5258690000000001</v>
      </c>
      <c r="N149" s="658"/>
      <c r="O149" s="658"/>
      <c r="P149" s="658"/>
      <c r="Q149" s="658"/>
      <c r="R149" s="658"/>
      <c r="S149" s="658"/>
    </row>
    <row r="150" spans="4:44">
      <c r="D150" s="667">
        <f>Solarstrom!$Q$25</f>
        <v>0</v>
      </c>
      <c r="F150" s="632">
        <v>9</v>
      </c>
      <c r="G150" s="631">
        <v>2018</v>
      </c>
      <c r="H150" s="635">
        <f t="shared" si="45"/>
        <v>1809</v>
      </c>
      <c r="I150" s="658">
        <f t="shared" si="42"/>
        <v>12.310852000000001</v>
      </c>
      <c r="J150" s="658">
        <f t="shared" si="43"/>
        <v>11.972906999999999</v>
      </c>
      <c r="K150" s="658">
        <f>IF(Solarstrom!S40&gt;0,Tabelle1!K149*(1-(Tabelle1!D150/100)),Tabelle1!K149-Tabelle1!D150)</f>
        <v>10.708028000000002</v>
      </c>
      <c r="L150" s="658" t="s">
        <v>136</v>
      </c>
      <c r="M150" s="658">
        <f t="shared" si="44"/>
        <v>8.5258690000000001</v>
      </c>
      <c r="N150" s="658"/>
      <c r="O150" s="658"/>
      <c r="P150" s="658"/>
      <c r="Q150" s="658"/>
      <c r="R150" s="658"/>
      <c r="S150" s="658"/>
    </row>
    <row r="151" spans="4:44">
      <c r="D151" s="667">
        <f>Solarstrom!$Q$25</f>
        <v>0</v>
      </c>
      <c r="F151" s="632">
        <v>10</v>
      </c>
      <c r="G151" s="631">
        <v>2018</v>
      </c>
      <c r="H151" s="635">
        <f t="shared" si="45"/>
        <v>1810</v>
      </c>
      <c r="I151" s="658">
        <f t="shared" si="42"/>
        <v>12.310852000000001</v>
      </c>
      <c r="J151" s="658">
        <f t="shared" si="43"/>
        <v>11.972906999999999</v>
      </c>
      <c r="K151" s="658">
        <f>IF(Solarstrom!S41&gt;0,Tabelle1!K150*(1-(Tabelle1!D151/100)),Tabelle1!K150-Tabelle1!D151)</f>
        <v>10.708028000000002</v>
      </c>
      <c r="L151" s="658" t="s">
        <v>136</v>
      </c>
      <c r="M151" s="658">
        <f t="shared" si="44"/>
        <v>8.5258690000000001</v>
      </c>
      <c r="N151" s="658"/>
      <c r="O151" s="658"/>
      <c r="P151" s="658"/>
      <c r="Q151" s="658"/>
      <c r="R151" s="658"/>
      <c r="S151" s="658"/>
    </row>
    <row r="152" spans="4:44">
      <c r="D152" s="667">
        <f>Solarstrom!$Q$25</f>
        <v>0</v>
      </c>
      <c r="F152" s="632">
        <v>11</v>
      </c>
      <c r="G152" s="631">
        <v>2018</v>
      </c>
      <c r="H152" s="635">
        <f t="shared" si="45"/>
        <v>1811</v>
      </c>
      <c r="I152" s="658">
        <f t="shared" si="42"/>
        <v>12.310852000000001</v>
      </c>
      <c r="J152" s="658">
        <f t="shared" si="43"/>
        <v>11.972906999999999</v>
      </c>
      <c r="K152" s="658">
        <f>IF(Solarstrom!S42&gt;0,Tabelle1!K151*(1-(Tabelle1!D152/100)),Tabelle1!K151-Tabelle1!D152)</f>
        <v>10.708028000000002</v>
      </c>
      <c r="L152" s="658" t="s">
        <v>136</v>
      </c>
      <c r="M152" s="658">
        <f t="shared" si="44"/>
        <v>8.5258690000000001</v>
      </c>
      <c r="N152" s="658"/>
      <c r="O152" s="658"/>
      <c r="P152" s="658"/>
      <c r="Q152" s="658"/>
      <c r="R152" s="658"/>
      <c r="S152" s="658"/>
    </row>
    <row r="153" spans="4:44">
      <c r="D153" s="667">
        <f>Solarstrom!$Q$25</f>
        <v>0</v>
      </c>
      <c r="F153" s="632">
        <v>12</v>
      </c>
      <c r="G153" s="631">
        <v>2018</v>
      </c>
      <c r="H153" s="635">
        <f t="shared" si="45"/>
        <v>1812</v>
      </c>
      <c r="I153" s="658">
        <f t="shared" si="42"/>
        <v>12.310852000000001</v>
      </c>
      <c r="J153" s="658">
        <f t="shared" si="43"/>
        <v>11.972906999999999</v>
      </c>
      <c r="K153" s="658">
        <f>IF(Solarstrom!S43&gt;0,Tabelle1!K152*(1-(Tabelle1!D153/100)),Tabelle1!K152-Tabelle1!D153)</f>
        <v>10.708028000000002</v>
      </c>
      <c r="L153" s="658" t="s">
        <v>136</v>
      </c>
      <c r="M153" s="658">
        <f t="shared" si="44"/>
        <v>8.5258690000000001</v>
      </c>
      <c r="N153" s="658"/>
      <c r="O153" s="658"/>
      <c r="P153" s="658"/>
      <c r="Q153" s="658"/>
      <c r="R153" s="658"/>
      <c r="S153" s="658"/>
    </row>
    <row r="154" spans="4:44">
      <c r="I154" s="658"/>
      <c r="J154" s="658"/>
      <c r="K154" s="658"/>
      <c r="L154" s="658"/>
      <c r="M154" s="658"/>
      <c r="N154" s="658"/>
      <c r="O154" s="658"/>
      <c r="P154" s="658"/>
      <c r="Q154" s="658"/>
      <c r="R154" s="658"/>
      <c r="S154" s="658"/>
    </row>
    <row r="155" spans="4:44">
      <c r="I155" s="658"/>
      <c r="J155" s="658"/>
      <c r="K155" s="658"/>
      <c r="L155" s="658"/>
      <c r="M155" s="658"/>
      <c r="N155" s="658"/>
      <c r="O155" s="658"/>
      <c r="P155" s="658"/>
      <c r="Q155" s="658"/>
      <c r="R155" s="658"/>
      <c r="S155" s="658"/>
    </row>
    <row r="156" spans="4:44">
      <c r="I156" s="658"/>
      <c r="J156" s="658"/>
      <c r="K156" s="658"/>
      <c r="L156" s="658"/>
      <c r="M156" s="658"/>
      <c r="N156" s="658"/>
      <c r="O156" s="658"/>
      <c r="P156" s="658"/>
      <c r="Q156" s="658"/>
      <c r="R156" s="658"/>
      <c r="S156" s="658"/>
    </row>
    <row r="157" spans="4:44">
      <c r="I157" s="658"/>
      <c r="J157" s="658"/>
      <c r="K157" s="658"/>
      <c r="L157" s="658"/>
      <c r="M157" s="658"/>
      <c r="N157" s="658"/>
      <c r="O157" s="658"/>
      <c r="P157" s="658"/>
      <c r="Q157" s="658"/>
      <c r="R157" s="658"/>
      <c r="S157" s="658"/>
    </row>
    <row r="158" spans="4:44">
      <c r="I158" s="658"/>
      <c r="J158" s="658"/>
      <c r="K158" s="658"/>
      <c r="L158" s="658"/>
      <c r="M158" s="658"/>
      <c r="N158" s="658"/>
      <c r="O158" s="658"/>
      <c r="P158" s="658"/>
      <c r="Q158" s="658"/>
      <c r="R158" s="658"/>
      <c r="S158" s="658"/>
    </row>
    <row r="159" spans="4:44">
      <c r="I159" s="658"/>
      <c r="J159" s="658"/>
      <c r="K159" s="658"/>
      <c r="L159" s="658"/>
      <c r="M159" s="658"/>
      <c r="N159" s="658"/>
      <c r="O159" s="658"/>
      <c r="P159" s="658"/>
      <c r="Q159" s="658"/>
      <c r="R159" s="658"/>
      <c r="S159" s="658"/>
    </row>
    <row r="160" spans="4:44">
      <c r="I160" s="658"/>
      <c r="J160" s="658"/>
      <c r="K160" s="658"/>
      <c r="L160" s="658"/>
      <c r="M160" s="658"/>
      <c r="N160" s="658"/>
      <c r="O160" s="658"/>
      <c r="P160" s="658"/>
      <c r="Q160" s="658"/>
      <c r="R160" s="658"/>
      <c r="S160" s="658"/>
    </row>
    <row r="161" spans="9:19">
      <c r="I161" s="658"/>
      <c r="J161" s="658"/>
      <c r="K161" s="658"/>
      <c r="L161" s="658"/>
      <c r="M161" s="658"/>
      <c r="N161" s="658"/>
      <c r="O161" s="658"/>
      <c r="P161" s="658"/>
      <c r="Q161" s="658"/>
      <c r="R161" s="658"/>
      <c r="S161" s="658"/>
    </row>
    <row r="162" spans="9:19">
      <c r="I162" s="658"/>
      <c r="J162" s="658"/>
      <c r="K162" s="658"/>
      <c r="L162" s="658"/>
      <c r="M162" s="658"/>
      <c r="N162" s="658"/>
      <c r="O162" s="658"/>
      <c r="P162" s="658"/>
      <c r="Q162" s="658"/>
      <c r="R162" s="658"/>
      <c r="S162" s="658"/>
    </row>
    <row r="163" spans="9:19">
      <c r="I163" s="658"/>
      <c r="J163" s="658"/>
      <c r="K163" s="658"/>
      <c r="L163" s="658"/>
      <c r="M163" s="658"/>
      <c r="N163" s="658"/>
      <c r="O163" s="658"/>
      <c r="P163" s="658"/>
      <c r="Q163" s="658"/>
      <c r="R163" s="658"/>
      <c r="S163" s="658"/>
    </row>
    <row r="164" spans="9:19">
      <c r="I164" s="658"/>
      <c r="J164" s="658"/>
      <c r="K164" s="658"/>
      <c r="L164" s="658"/>
      <c r="M164" s="658"/>
      <c r="N164" s="658"/>
      <c r="O164" s="658"/>
      <c r="P164" s="658"/>
      <c r="Q164" s="658"/>
      <c r="R164" s="658"/>
      <c r="S164" s="658"/>
    </row>
    <row r="165" spans="9:19">
      <c r="I165" s="658"/>
      <c r="J165" s="658"/>
      <c r="K165" s="658"/>
      <c r="L165" s="658"/>
      <c r="M165" s="658"/>
      <c r="N165" s="658"/>
      <c r="O165" s="658"/>
      <c r="P165" s="658"/>
      <c r="Q165" s="658"/>
      <c r="R165" s="658"/>
      <c r="S165" s="658"/>
    </row>
    <row r="166" spans="9:19">
      <c r="I166" s="658"/>
      <c r="J166" s="658"/>
      <c r="K166" s="658"/>
      <c r="L166" s="658"/>
      <c r="M166" s="658"/>
      <c r="N166" s="658"/>
      <c r="O166" s="658"/>
      <c r="P166" s="658"/>
      <c r="Q166" s="658"/>
      <c r="R166" s="658"/>
      <c r="S166" s="658"/>
    </row>
    <row r="167" spans="9:19">
      <c r="I167" s="658"/>
      <c r="J167" s="658"/>
      <c r="K167" s="658"/>
      <c r="L167" s="658"/>
      <c r="M167" s="658"/>
      <c r="N167" s="658"/>
      <c r="O167" s="658"/>
      <c r="P167" s="658"/>
      <c r="Q167" s="658"/>
      <c r="R167" s="658"/>
      <c r="S167" s="658"/>
    </row>
    <row r="168" spans="9:19">
      <c r="I168" s="658"/>
      <c r="J168" s="658"/>
      <c r="K168" s="658"/>
      <c r="L168" s="658"/>
      <c r="M168" s="658"/>
      <c r="N168" s="658"/>
      <c r="O168" s="658"/>
      <c r="P168" s="658"/>
      <c r="Q168" s="658"/>
      <c r="R168" s="658"/>
      <c r="S168" s="658"/>
    </row>
    <row r="169" spans="9:19">
      <c r="I169" s="658"/>
      <c r="J169" s="658"/>
      <c r="K169" s="658"/>
      <c r="L169" s="658"/>
      <c r="M169" s="658"/>
      <c r="N169" s="658"/>
      <c r="O169" s="658"/>
      <c r="P169" s="658"/>
      <c r="Q169" s="658"/>
      <c r="R169" s="658"/>
      <c r="S169" s="658"/>
    </row>
    <row r="170" spans="9:19">
      <c r="I170" s="658"/>
      <c r="J170" s="658"/>
      <c r="K170" s="658"/>
      <c r="L170" s="658"/>
      <c r="M170" s="658"/>
      <c r="N170" s="658"/>
      <c r="O170" s="658"/>
      <c r="P170" s="658"/>
      <c r="Q170" s="658"/>
      <c r="R170" s="658"/>
      <c r="S170" s="658"/>
    </row>
    <row r="171" spans="9:19">
      <c r="I171" s="658"/>
      <c r="J171" s="658"/>
      <c r="K171" s="658"/>
      <c r="L171" s="658"/>
      <c r="M171" s="658"/>
      <c r="N171" s="658"/>
      <c r="O171" s="658"/>
      <c r="P171" s="658"/>
      <c r="Q171" s="658"/>
      <c r="R171" s="658"/>
      <c r="S171" s="658"/>
    </row>
    <row r="172" spans="9:19">
      <c r="I172" s="658"/>
      <c r="J172" s="658"/>
      <c r="K172" s="658"/>
      <c r="L172" s="658"/>
      <c r="M172" s="658"/>
      <c r="N172" s="658"/>
      <c r="O172" s="658"/>
      <c r="P172" s="658"/>
      <c r="Q172" s="658"/>
      <c r="R172" s="658"/>
      <c r="S172" s="658"/>
    </row>
    <row r="173" spans="9:19">
      <c r="I173" s="658"/>
      <c r="J173" s="658"/>
      <c r="K173" s="658"/>
      <c r="L173" s="658"/>
      <c r="M173" s="658"/>
      <c r="N173" s="658"/>
      <c r="O173" s="658"/>
      <c r="P173" s="658"/>
      <c r="Q173" s="658"/>
      <c r="R173" s="658"/>
      <c r="S173" s="658"/>
    </row>
    <row r="174" spans="9:19">
      <c r="I174" s="658"/>
      <c r="J174" s="658"/>
      <c r="K174" s="658"/>
      <c r="L174" s="658"/>
      <c r="M174" s="658"/>
      <c r="N174" s="658"/>
      <c r="O174" s="658"/>
      <c r="P174" s="658"/>
      <c r="Q174" s="658"/>
      <c r="R174" s="658"/>
      <c r="S174" s="658"/>
    </row>
    <row r="175" spans="9:19">
      <c r="I175" s="658"/>
      <c r="J175" s="658"/>
      <c r="K175" s="658"/>
      <c r="L175" s="658"/>
      <c r="M175" s="658"/>
      <c r="N175" s="658"/>
      <c r="O175" s="658"/>
      <c r="P175" s="658"/>
      <c r="Q175" s="658"/>
      <c r="R175" s="658"/>
      <c r="S175" s="658"/>
    </row>
    <row r="176" spans="9:19">
      <c r="I176" s="658"/>
      <c r="J176" s="658"/>
      <c r="K176" s="658"/>
      <c r="L176" s="658"/>
      <c r="M176" s="658"/>
      <c r="N176" s="658"/>
      <c r="O176" s="658"/>
      <c r="P176" s="658"/>
      <c r="Q176" s="658"/>
      <c r="R176" s="658"/>
      <c r="S176" s="658"/>
    </row>
    <row r="177" spans="9:19">
      <c r="I177" s="658"/>
      <c r="J177" s="658"/>
      <c r="K177" s="658"/>
      <c r="L177" s="658"/>
      <c r="M177" s="658"/>
      <c r="N177" s="658"/>
      <c r="O177" s="658"/>
      <c r="P177" s="658"/>
      <c r="Q177" s="658"/>
      <c r="R177" s="658"/>
      <c r="S177" s="658"/>
    </row>
    <row r="178" spans="9:19">
      <c r="I178" s="658"/>
      <c r="J178" s="658"/>
      <c r="K178" s="658"/>
      <c r="L178" s="658"/>
      <c r="M178" s="658"/>
      <c r="N178" s="658"/>
      <c r="O178" s="658"/>
      <c r="P178" s="658"/>
      <c r="Q178" s="658"/>
      <c r="R178" s="658"/>
      <c r="S178" s="658"/>
    </row>
    <row r="179" spans="9:19">
      <c r="I179" s="658"/>
      <c r="J179" s="658"/>
      <c r="K179" s="658"/>
      <c r="L179" s="658"/>
      <c r="M179" s="658"/>
      <c r="N179" s="658"/>
      <c r="O179" s="658"/>
      <c r="P179" s="658"/>
      <c r="Q179" s="658"/>
      <c r="R179" s="658"/>
      <c r="S179" s="658"/>
    </row>
    <row r="180" spans="9:19">
      <c r="I180" s="658"/>
      <c r="J180" s="658"/>
      <c r="K180" s="658"/>
      <c r="L180" s="658"/>
      <c r="M180" s="658"/>
      <c r="N180" s="658"/>
      <c r="O180" s="658"/>
      <c r="P180" s="658"/>
      <c r="Q180" s="658"/>
      <c r="R180" s="658"/>
      <c r="S180" s="658"/>
    </row>
    <row r="181" spans="9:19">
      <c r="I181" s="658"/>
      <c r="J181" s="658"/>
      <c r="K181" s="658"/>
      <c r="L181" s="658"/>
      <c r="M181" s="658"/>
      <c r="N181" s="658"/>
      <c r="O181" s="658"/>
      <c r="P181" s="658"/>
      <c r="Q181" s="658"/>
      <c r="R181" s="658"/>
      <c r="S181" s="658"/>
    </row>
    <row r="182" spans="9:19">
      <c r="I182" s="658"/>
      <c r="J182" s="658"/>
      <c r="K182" s="658"/>
      <c r="L182" s="658"/>
      <c r="M182" s="658"/>
      <c r="N182" s="658"/>
      <c r="O182" s="658"/>
      <c r="P182" s="658"/>
      <c r="Q182" s="658"/>
      <c r="R182" s="658"/>
      <c r="S182" s="658"/>
    </row>
    <row r="183" spans="9:19">
      <c r="I183" s="658"/>
      <c r="J183" s="658"/>
      <c r="K183" s="658"/>
      <c r="L183" s="658"/>
      <c r="M183" s="658"/>
      <c r="N183" s="658"/>
      <c r="O183" s="658"/>
      <c r="P183" s="658"/>
      <c r="Q183" s="658"/>
      <c r="R183" s="658"/>
      <c r="S183" s="658"/>
    </row>
    <row r="184" spans="9:19">
      <c r="I184" s="658"/>
      <c r="J184" s="658"/>
      <c r="K184" s="658"/>
      <c r="L184" s="658"/>
      <c r="M184" s="658"/>
      <c r="N184" s="658"/>
      <c r="O184" s="658"/>
      <c r="P184" s="658"/>
      <c r="Q184" s="658"/>
      <c r="R184" s="658"/>
      <c r="S184" s="658"/>
    </row>
    <row r="185" spans="9:19">
      <c r="I185" s="658"/>
      <c r="J185" s="658"/>
      <c r="K185" s="658"/>
      <c r="L185" s="658"/>
      <c r="M185" s="658"/>
      <c r="N185" s="658"/>
    </row>
  </sheetData>
  <sheetProtection password="F0B6" sheet="1" objects="1" scenarios="1" selectLockedCells="1"/>
  <mergeCells count="8">
    <mergeCell ref="CA9:CC11"/>
    <mergeCell ref="I14:N14"/>
    <mergeCell ref="O14:T14"/>
    <mergeCell ref="I15:L15"/>
    <mergeCell ref="BK10:BL10"/>
    <mergeCell ref="BM10:BN10"/>
    <mergeCell ref="BO10:BP10"/>
    <mergeCell ref="BG10:BG14"/>
  </mergeCells>
  <conditionalFormatting sqref="AD36">
    <cfRule type="cellIs" dxfId="1" priority="2" stopIfTrue="1" operator="equal">
      <formula>Tabelle1!#REF!</formula>
    </cfRule>
  </conditionalFormatting>
  <conditionalFormatting sqref="L12">
    <cfRule type="cellIs" dxfId="0" priority="1" operator="equal">
      <formula>0</formula>
    </cfRule>
  </conditionalFormatting>
  <pageMargins left="0.7" right="0.7" top="0.78740157499999996" bottom="0.78740157499999996"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sheetPr codeName="Tabelle5"/>
  <dimension ref="A1:DO70"/>
  <sheetViews>
    <sheetView topLeftCell="AE1" zoomScale="80" zoomScaleNormal="80" zoomScalePageLayoutView="70" workbookViewId="0">
      <pane ySplit="2" topLeftCell="A9" activePane="bottomLeft" state="frozen"/>
      <selection activeCell="D35" sqref="D35"/>
      <selection pane="bottomLeft" activeCell="BE34" sqref="BE34"/>
    </sheetView>
  </sheetViews>
  <sheetFormatPr baseColWidth="10" defaultColWidth="10.85546875" defaultRowHeight="15"/>
  <cols>
    <col min="1" max="2" width="10.85546875" style="589"/>
    <col min="3" max="3" width="37.28515625" style="589" bestFit="1" customWidth="1"/>
    <col min="4" max="4" width="13" style="589" bestFit="1" customWidth="1"/>
    <col min="5" max="5" width="21.42578125" style="589" bestFit="1" customWidth="1"/>
    <col min="6" max="6" width="16.42578125" style="589" bestFit="1" customWidth="1"/>
    <col min="7" max="7" width="14.42578125" style="589" bestFit="1" customWidth="1"/>
    <col min="8" max="8" width="17.28515625" style="589" customWidth="1"/>
    <col min="9" max="9" width="15.42578125" style="589" customWidth="1"/>
    <col min="10" max="10" width="14.42578125" style="589" customWidth="1"/>
    <col min="11" max="16" width="20.7109375" style="589" customWidth="1"/>
    <col min="17" max="17" width="10.85546875" style="589"/>
    <col min="18" max="18" width="22.140625" style="589" bestFit="1" customWidth="1"/>
    <col min="19" max="19" width="10.85546875" style="589"/>
    <col min="20" max="20" width="44" style="589" customWidth="1"/>
    <col min="21" max="21" width="14.28515625" style="589" bestFit="1" customWidth="1"/>
    <col min="22" max="22" width="43.7109375" style="589" bestFit="1" customWidth="1"/>
    <col min="23" max="23" width="7.7109375" style="589" bestFit="1" customWidth="1"/>
    <col min="24" max="27" width="9.140625" style="589" bestFit="1" customWidth="1"/>
    <col min="28" max="28" width="12.140625" style="589" bestFit="1" customWidth="1"/>
    <col min="29" max="29" width="10.28515625" style="589" bestFit="1" customWidth="1"/>
    <col min="30" max="30" width="7" style="589" customWidth="1"/>
    <col min="31" max="32" width="9.140625" style="589" bestFit="1" customWidth="1"/>
    <col min="33" max="33" width="7" style="589" customWidth="1"/>
    <col min="34" max="34" width="10.7109375" style="589" bestFit="1" customWidth="1"/>
    <col min="35" max="57" width="10.85546875" style="589"/>
    <col min="58" max="58" width="9.42578125" style="589" bestFit="1" customWidth="1"/>
    <col min="59" max="59" width="6.42578125" style="589" bestFit="1" customWidth="1"/>
    <col min="60" max="60" width="4.28515625" style="589" customWidth="1"/>
    <col min="61" max="61" width="5.85546875" style="589" customWidth="1"/>
    <col min="62" max="62" width="4.28515625" style="589" customWidth="1"/>
    <col min="63" max="63" width="5.42578125" style="589" bestFit="1" customWidth="1"/>
    <col min="64" max="75" width="4.28515625" style="589" customWidth="1"/>
    <col min="76" max="77" width="10.85546875" style="589"/>
    <col min="78" max="79" width="5.42578125" style="589" bestFit="1" customWidth="1"/>
    <col min="80" max="81" width="4.42578125" style="589" customWidth="1"/>
    <col min="82" max="82" width="5.42578125" style="589" bestFit="1" customWidth="1"/>
    <col min="83" max="95" width="4.42578125" style="589" customWidth="1"/>
    <col min="96" max="101" width="10.85546875" style="589"/>
    <col min="102" max="103" width="10.85546875" style="592"/>
    <col min="104" max="104" width="33.85546875" style="592" bestFit="1" customWidth="1"/>
    <col min="105" max="105" width="10.85546875" style="592"/>
    <col min="106" max="106" width="27.42578125" style="592" bestFit="1" customWidth="1"/>
    <col min="107" max="116" width="10.85546875" style="592"/>
    <col min="117" max="117" width="13" style="592" bestFit="1" customWidth="1"/>
    <col min="118" max="118" width="10.85546875" style="592"/>
    <col min="119" max="119" width="13" style="592" bestFit="1" customWidth="1"/>
    <col min="120" max="16384" width="10.85546875" style="592"/>
  </cols>
  <sheetData>
    <row r="1" spans="1:119" ht="15.75" customHeight="1">
      <c r="A1" s="589" t="s">
        <v>331</v>
      </c>
      <c r="D1" s="589">
        <v>1</v>
      </c>
      <c r="E1" s="589">
        <v>2</v>
      </c>
      <c r="F1" s="589">
        <v>3</v>
      </c>
      <c r="G1" s="589">
        <v>4</v>
      </c>
      <c r="H1" s="589">
        <v>5</v>
      </c>
      <c r="I1" s="589">
        <v>6</v>
      </c>
      <c r="J1" s="589">
        <v>7</v>
      </c>
      <c r="K1" s="589">
        <v>8</v>
      </c>
      <c r="L1" s="589">
        <v>9</v>
      </c>
      <c r="M1" s="589">
        <v>10</v>
      </c>
      <c r="N1" s="589">
        <v>11</v>
      </c>
      <c r="O1" s="589">
        <v>12</v>
      </c>
      <c r="P1" s="589">
        <v>13</v>
      </c>
      <c r="Q1" s="589">
        <v>14</v>
      </c>
      <c r="R1" s="589">
        <v>15</v>
      </c>
      <c r="T1" s="589">
        <v>1</v>
      </c>
      <c r="U1" s="590">
        <v>2</v>
      </c>
      <c r="V1" s="589">
        <v>3</v>
      </c>
      <c r="W1" s="590">
        <v>4</v>
      </c>
      <c r="X1" s="589">
        <v>5</v>
      </c>
      <c r="Y1" s="590">
        <v>6</v>
      </c>
      <c r="Z1" s="589">
        <v>7</v>
      </c>
      <c r="AA1" s="590">
        <v>8</v>
      </c>
      <c r="AB1" s="589">
        <v>9</v>
      </c>
      <c r="AC1" s="590">
        <v>10</v>
      </c>
      <c r="AD1" s="589">
        <v>11</v>
      </c>
      <c r="AE1" s="590">
        <v>12</v>
      </c>
      <c r="AF1" s="589">
        <v>13</v>
      </c>
      <c r="AG1" s="590">
        <v>14</v>
      </c>
      <c r="AH1" s="589">
        <v>15</v>
      </c>
      <c r="AI1" s="590">
        <v>16</v>
      </c>
      <c r="AJ1" s="589">
        <v>17</v>
      </c>
      <c r="AK1" s="590">
        <v>18</v>
      </c>
      <c r="AL1" s="589">
        <v>19</v>
      </c>
      <c r="AM1" s="590">
        <v>20</v>
      </c>
      <c r="AN1" s="589">
        <v>21</v>
      </c>
      <c r="AO1" s="590">
        <v>22</v>
      </c>
      <c r="AP1" s="589">
        <v>23</v>
      </c>
      <c r="AQ1" s="590">
        <v>24</v>
      </c>
      <c r="AR1" s="589">
        <v>25</v>
      </c>
      <c r="AS1" s="590">
        <v>26</v>
      </c>
      <c r="AT1" s="589">
        <v>27</v>
      </c>
      <c r="AU1" s="590">
        <v>28</v>
      </c>
      <c r="AV1" s="589">
        <v>29</v>
      </c>
      <c r="AW1" s="590">
        <v>30</v>
      </c>
      <c r="CS1" s="592"/>
      <c r="CT1" s="592"/>
      <c r="CU1" s="592"/>
      <c r="CV1" s="592"/>
      <c r="CW1" s="592"/>
      <c r="DM1" s="592" t="s">
        <v>296</v>
      </c>
    </row>
    <row r="2" spans="1:119" ht="94.5">
      <c r="A2" s="593" t="s">
        <v>333</v>
      </c>
      <c r="B2" s="593" t="s">
        <v>334</v>
      </c>
      <c r="C2" s="589" t="s">
        <v>332</v>
      </c>
      <c r="D2" s="589" t="s">
        <v>354</v>
      </c>
      <c r="E2" s="589" t="s">
        <v>504</v>
      </c>
      <c r="F2" s="593" t="s">
        <v>456</v>
      </c>
      <c r="G2" s="593" t="s">
        <v>355</v>
      </c>
      <c r="H2" s="593" t="s">
        <v>458</v>
      </c>
      <c r="I2" s="593" t="s">
        <v>457</v>
      </c>
      <c r="J2" s="593" t="s">
        <v>459</v>
      </c>
      <c r="K2" s="593" t="s">
        <v>477</v>
      </c>
      <c r="L2" s="589" t="s">
        <v>475</v>
      </c>
      <c r="M2" s="589" t="s">
        <v>496</v>
      </c>
      <c r="N2" s="589" t="s">
        <v>497</v>
      </c>
      <c r="S2" s="593" t="s">
        <v>451</v>
      </c>
      <c r="T2" s="589" t="s">
        <v>335</v>
      </c>
      <c r="U2" s="590" t="s">
        <v>336</v>
      </c>
      <c r="V2" s="591" t="s">
        <v>337</v>
      </c>
      <c r="W2" s="594" t="s">
        <v>313</v>
      </c>
      <c r="X2" s="595" t="s">
        <v>338</v>
      </c>
      <c r="Y2" s="595" t="s">
        <v>339</v>
      </c>
      <c r="Z2" s="595" t="s">
        <v>340</v>
      </c>
      <c r="AA2" s="595" t="s">
        <v>341</v>
      </c>
      <c r="AB2" s="594" t="s">
        <v>430</v>
      </c>
      <c r="AC2" s="595" t="s">
        <v>431</v>
      </c>
      <c r="AD2" s="595" t="s">
        <v>432</v>
      </c>
      <c r="AE2" s="595" t="s">
        <v>433</v>
      </c>
      <c r="AF2" s="596" t="s">
        <v>348</v>
      </c>
      <c r="AG2" s="596"/>
      <c r="AH2" s="596" t="s">
        <v>349</v>
      </c>
      <c r="AI2" s="593" t="s">
        <v>350</v>
      </c>
      <c r="AJ2" s="593" t="s">
        <v>472</v>
      </c>
      <c r="AO2" s="595" t="s">
        <v>314</v>
      </c>
      <c r="AP2" s="595" t="s">
        <v>558</v>
      </c>
      <c r="AQ2" s="595" t="s">
        <v>343</v>
      </c>
      <c r="AR2" s="595" t="s">
        <v>344</v>
      </c>
      <c r="AS2" s="595" t="s">
        <v>345</v>
      </c>
      <c r="AT2" s="595" t="s">
        <v>346</v>
      </c>
      <c r="AU2" s="595" t="s">
        <v>347</v>
      </c>
      <c r="AV2" s="595" t="s">
        <v>522</v>
      </c>
      <c r="AW2" s="595" t="s">
        <v>556</v>
      </c>
      <c r="AX2" s="595"/>
      <c r="AY2" s="595"/>
      <c r="CT2" s="592" t="s">
        <v>445</v>
      </c>
      <c r="CU2" s="592"/>
      <c r="CV2" s="592"/>
      <c r="CW2" s="592"/>
      <c r="DA2" s="621"/>
      <c r="DB2" s="622" t="s">
        <v>446</v>
      </c>
      <c r="DF2" s="589"/>
      <c r="DM2" s="620" t="str">
        <f>VLOOKUP('Auslegung Stromspeicher'!B8,T3:V60,2,0)</f>
        <v>Accumotive</v>
      </c>
    </row>
    <row r="3" spans="1:119" ht="15.75">
      <c r="E3" s="589">
        <f>VLOOKUP('Auslegung Stromspeicher'!$E$12,Daten!$D$5:$F$38,2,0)</f>
        <v>0</v>
      </c>
      <c r="F3" s="589">
        <f>VLOOKUP('Auslegung Stromspeicher'!$E$12,Daten!$D$5:$F$38,3,0)</f>
        <v>0</v>
      </c>
      <c r="T3" s="597" t="str">
        <f t="shared" ref="T3:T47" si="0">Y3&amp;" kWh - "&amp;U3&amp;" "&amp;V3</f>
        <v>2,3 kWh - Accumotive Mercedes-Benz 2.5</v>
      </c>
      <c r="U3" s="589" t="s">
        <v>351</v>
      </c>
      <c r="V3" s="589" t="s">
        <v>437</v>
      </c>
      <c r="W3" s="589" t="s">
        <v>352</v>
      </c>
      <c r="X3" s="589">
        <v>2.5</v>
      </c>
      <c r="Y3" s="589">
        <v>2.3000000000000003</v>
      </c>
      <c r="Z3" s="589">
        <v>1.25</v>
      </c>
      <c r="AA3" s="589">
        <v>1.25</v>
      </c>
      <c r="AB3" s="598"/>
      <c r="AC3" s="598"/>
      <c r="AD3" s="598"/>
      <c r="AE3" s="598"/>
      <c r="AF3" s="589">
        <v>7</v>
      </c>
      <c r="AH3" s="600" t="s">
        <v>299</v>
      </c>
      <c r="AI3" s="589" t="s">
        <v>29</v>
      </c>
      <c r="AJ3" s="611" t="s">
        <v>464</v>
      </c>
      <c r="AK3" s="611"/>
      <c r="AL3" s="611"/>
      <c r="AM3" s="612"/>
      <c r="AO3" s="608" t="s">
        <v>299</v>
      </c>
      <c r="AP3" s="608"/>
      <c r="AQ3" s="608"/>
      <c r="AR3" s="608"/>
      <c r="AS3" s="608"/>
      <c r="AT3" s="608"/>
      <c r="AU3" s="608"/>
      <c r="AV3" s="608"/>
      <c r="AW3" s="608"/>
      <c r="AX3" s="608"/>
      <c r="AY3" s="599"/>
      <c r="CT3" s="623">
        <f>IF(CU3&lt;&gt;"",1,0)</f>
        <v>0</v>
      </c>
      <c r="CU3" s="597" t="str">
        <f>IF(Daten!B5="x",VLOOKUP(Daten!$DG$3,Daten!$B5:$D$40,3,0),"")</f>
        <v/>
      </c>
      <c r="CV3" s="589" t="str">
        <f>IF(ISERROR(VLOOKUP(DK3,$CT$3:$CU$40,2,0)),"",VLOOKUP(DK3,$CT$3:$CU$40,2,0))</f>
        <v>SI3.0</v>
      </c>
      <c r="CW3" s="592"/>
      <c r="CX3" s="589"/>
      <c r="DA3" s="680" t="str">
        <f>VLOOKUP(DM2,Daten!U3:AM60,14)</f>
        <v>x</v>
      </c>
      <c r="DB3" s="592" t="str">
        <f>Daten!AO2</f>
        <v>SMA</v>
      </c>
      <c r="DC3" s="623">
        <f>IF(DE3="x",1,0)</f>
        <v>1</v>
      </c>
      <c r="DD3" s="607" t="str">
        <f>IF(DE3="x",Daten!AO2," ")</f>
        <v>SMA</v>
      </c>
      <c r="DE3" s="608" t="str">
        <f>VLOOKUP('Auslegung Stromspeicher'!$B$8,Daten!$T$3:$AP$60,Daten!AO1,0)</f>
        <v>x</v>
      </c>
      <c r="DF3" s="625" t="str">
        <f>IF('Auslegung Stromspeicher'!$C$12=DD3,"x",0)</f>
        <v>x</v>
      </c>
      <c r="DG3" s="589" t="s">
        <v>299</v>
      </c>
      <c r="DH3" s="592" t="str">
        <f>IF(ISERROR(VLOOKUP(DK3,$DC$3:$DD$15,2,0)),"",VLOOKUP(DK3,$DC$3:$DD$15,2,0))</f>
        <v>SMA</v>
      </c>
      <c r="DK3" s="592">
        <v>1</v>
      </c>
      <c r="DL3" s="592">
        <f>IF(DN3="x",1,0)</f>
        <v>0</v>
      </c>
      <c r="DM3" s="626" t="str">
        <f>IF(AND(S3="x",U3=$DM$2),V3,"")</f>
        <v/>
      </c>
      <c r="DN3" s="623">
        <f>IF(DM3&lt;&gt;"","x",0)</f>
        <v>0</v>
      </c>
      <c r="DO3" s="592" t="str">
        <f>IF(ISERROR(VLOOKUP(DK3,DL3:DM60,2,0)),"",VLOOKUP(DK3,DL3:DM60,2,0))</f>
        <v>Mercedes-Benz Batteriemodul</v>
      </c>
    </row>
    <row r="4" spans="1:119" ht="15.75">
      <c r="B4" s="589" t="s">
        <v>353</v>
      </c>
      <c r="C4" s="589" t="s">
        <v>336</v>
      </c>
      <c r="Q4" s="589" t="s">
        <v>318</v>
      </c>
      <c r="R4" s="589" t="s">
        <v>320</v>
      </c>
      <c r="S4" s="589" t="s">
        <v>299</v>
      </c>
      <c r="T4" s="597" t="str">
        <f t="shared" si="0"/>
        <v>2,3 kWh - Accumotive Mercedes-Benz Batteriemodul</v>
      </c>
      <c r="U4" s="589" t="s">
        <v>351</v>
      </c>
      <c r="V4" s="589" t="s">
        <v>452</v>
      </c>
      <c r="W4" s="589" t="s">
        <v>352</v>
      </c>
      <c r="X4" s="589">
        <v>2.5</v>
      </c>
      <c r="Y4" s="589">
        <v>2.3000000000000003</v>
      </c>
      <c r="Z4" s="589">
        <v>1.25</v>
      </c>
      <c r="AA4" s="589">
        <v>1.25</v>
      </c>
      <c r="AO4" s="608"/>
      <c r="AP4" s="608"/>
      <c r="AQ4" s="608"/>
      <c r="AR4" s="608"/>
      <c r="AS4" s="608"/>
      <c r="AT4" s="608"/>
      <c r="AU4" s="608"/>
      <c r="AV4" s="608"/>
      <c r="AW4" s="608"/>
      <c r="AX4" s="609"/>
      <c r="BF4" s="589" t="s">
        <v>357</v>
      </c>
      <c r="BY4" s="589" t="s">
        <v>147</v>
      </c>
      <c r="CT4" s="623">
        <f t="shared" ref="CT4:CT37" si="1">IF(CU4&lt;&gt;"",1,0)+CT3</f>
        <v>0</v>
      </c>
      <c r="CU4" s="597" t="str">
        <f>IF(Daten!B6="x",VLOOKUP(Daten!$DG$3,Daten!$B6:$D$40,3,0),"")</f>
        <v/>
      </c>
      <c r="CV4" s="589" t="str">
        <f>IF(ISERROR(VLOOKUP(DK4,$CT$3:$CU$40,2,0)),"",VLOOKUP(DK4,$CT$3:$CU$40,2,0))</f>
        <v>SI4.4</v>
      </c>
      <c r="CW4" s="592"/>
      <c r="CX4" s="592">
        <v>1</v>
      </c>
      <c r="CY4" s="592" t="s">
        <v>301</v>
      </c>
      <c r="DA4" s="624"/>
      <c r="DB4" s="592" t="str">
        <f>Daten!AP2</f>
        <v>SMA SE</v>
      </c>
      <c r="DC4" s="623">
        <f t="shared" ref="DC4:DC12" si="2">IF(DE4="x",1,0)+DC3</f>
        <v>1</v>
      </c>
      <c r="DD4" s="607" t="str">
        <f>IF(DE4="x",Daten!AP2," ")</f>
        <v xml:space="preserve"> </v>
      </c>
      <c r="DE4" s="608">
        <f>VLOOKUP('Auslegung Stromspeicher'!$B$8,Daten!$T$3:$AP$60,Daten!AP1,0)</f>
        <v>0</v>
      </c>
      <c r="DF4" s="625">
        <f>IF('Auslegung Stromspeicher'!$C$12=DD4,"x",0)</f>
        <v>0</v>
      </c>
      <c r="DG4" s="589"/>
      <c r="DH4" s="592" t="str">
        <f t="shared" ref="DH4:DH12" si="3">IF(ISERROR(VLOOKUP(DK4,$DC$3:$DD$15,2,0)),"",VLOOKUP(DK4,$DC$3:$DD$15,2,0))</f>
        <v/>
      </c>
      <c r="DK4" s="592">
        <v>2</v>
      </c>
      <c r="DL4" s="592">
        <f t="shared" ref="DL4:DL35" si="4">IF(DN4="x",1,0)+DL3</f>
        <v>1</v>
      </c>
      <c r="DM4" s="626" t="str">
        <f t="shared" ref="DM4:DM60" si="5">IF(AND(S4="x",U4=$DM$2),V4,"")</f>
        <v>Mercedes-Benz Batteriemodul</v>
      </c>
      <c r="DN4" s="623" t="str">
        <f t="shared" ref="DN4:DN60" si="6">IF(DM4&lt;&gt;"","x",0)</f>
        <v>x</v>
      </c>
      <c r="DO4" s="592" t="str">
        <f>IF(ISERROR(VLOOKUP(DK4,DL4:DM61,2,0)),"",VLOOKUP(DK4,DL4:DM61,2,0))</f>
        <v/>
      </c>
    </row>
    <row r="5" spans="1:119" ht="15.75">
      <c r="A5" s="589">
        <f>Daten!DE4</f>
        <v>0</v>
      </c>
      <c r="B5" s="589">
        <f>IF(AND(A5="x",Daten!$DF$4="x"),"x",0)</f>
        <v>0</v>
      </c>
      <c r="C5" s="589" t="s">
        <v>558</v>
      </c>
      <c r="D5" s="589" t="s">
        <v>358</v>
      </c>
      <c r="E5" s="589" t="s">
        <v>503</v>
      </c>
      <c r="F5" s="589">
        <v>5.2</v>
      </c>
      <c r="G5" s="589">
        <v>3.68</v>
      </c>
      <c r="H5" s="589">
        <v>3.68</v>
      </c>
      <c r="L5" s="589" t="s">
        <v>474</v>
      </c>
      <c r="Q5" s="589">
        <v>1</v>
      </c>
      <c r="R5" s="589" t="s">
        <v>93</v>
      </c>
      <c r="T5" s="597" t="str">
        <f t="shared" si="0"/>
        <v>4,6 kWh - Accumotive Mercedes-Benz 5.0</v>
      </c>
      <c r="U5" s="589" t="s">
        <v>351</v>
      </c>
      <c r="V5" s="589" t="s">
        <v>438</v>
      </c>
      <c r="W5" s="589" t="s">
        <v>352</v>
      </c>
      <c r="X5" s="589">
        <v>5</v>
      </c>
      <c r="Y5" s="589">
        <v>4.6000000000000005</v>
      </c>
      <c r="Z5" s="589">
        <v>2.5</v>
      </c>
      <c r="AA5" s="589">
        <v>2.5</v>
      </c>
      <c r="AB5" s="598"/>
      <c r="AC5" s="598"/>
      <c r="AD5" s="598"/>
      <c r="AE5" s="598"/>
      <c r="AF5" s="589">
        <v>6</v>
      </c>
      <c r="AG5" s="589" t="s">
        <v>356</v>
      </c>
      <c r="AH5" s="589" t="s">
        <v>299</v>
      </c>
      <c r="AI5" s="589" t="s">
        <v>29</v>
      </c>
      <c r="AJ5" s="611" t="s">
        <v>465</v>
      </c>
      <c r="AK5" s="611"/>
      <c r="AL5" s="611"/>
      <c r="AM5" s="612"/>
      <c r="AO5" s="608" t="s">
        <v>299</v>
      </c>
      <c r="AP5" s="608"/>
      <c r="AQ5" s="608"/>
      <c r="AR5" s="608"/>
      <c r="AS5" s="608"/>
      <c r="AT5" s="608"/>
      <c r="AU5" s="608"/>
      <c r="AV5" s="608"/>
      <c r="AW5" s="608"/>
      <c r="AX5" s="609"/>
      <c r="AY5" s="599"/>
      <c r="CT5" s="623">
        <f t="shared" si="1"/>
        <v>0</v>
      </c>
      <c r="CU5" s="597" t="str">
        <f>IF(Daten!B7="x",VLOOKUP(Daten!$DG$3,Daten!$B7:$D$40,3,0),"")</f>
        <v/>
      </c>
      <c r="CV5" s="589" t="str">
        <f t="shared" ref="CV5:CV40" si="7">IF(ISERROR(VLOOKUP(DK5,$CT$3:$CU$40,2,0)),"",VLOOKUP(DK5,$CT$3:$CU$40,2,0))</f>
        <v>SI6.0</v>
      </c>
      <c r="CW5" s="592"/>
      <c r="CX5" s="592">
        <v>1.05</v>
      </c>
      <c r="CY5" s="592" t="s">
        <v>301</v>
      </c>
      <c r="DA5" s="624"/>
      <c r="DB5" s="592" t="str">
        <f>Daten!AQ2</f>
        <v>Fronius Symo Hybrid</v>
      </c>
      <c r="DC5" s="623">
        <f t="shared" si="2"/>
        <v>1</v>
      </c>
      <c r="DD5" s="607" t="str">
        <f>IF(DE5="x",Daten!AQ2," ")</f>
        <v xml:space="preserve"> </v>
      </c>
      <c r="DE5" s="608">
        <f>VLOOKUP('Auslegung Stromspeicher'!$B$8,Daten!$T$3:$AW$60,Daten!AQ1,0)</f>
        <v>0</v>
      </c>
      <c r="DF5" s="625">
        <f>IF('Auslegung Stromspeicher'!$C$12=DD5,"x",0)</f>
        <v>0</v>
      </c>
      <c r="DH5" s="592" t="str">
        <f t="shared" si="3"/>
        <v/>
      </c>
      <c r="DK5" s="592">
        <v>3</v>
      </c>
      <c r="DL5" s="592">
        <f t="shared" si="4"/>
        <v>1</v>
      </c>
      <c r="DM5" s="626" t="str">
        <f t="shared" si="5"/>
        <v/>
      </c>
      <c r="DN5" s="623">
        <f t="shared" si="6"/>
        <v>0</v>
      </c>
      <c r="DO5" s="592" t="str">
        <f t="shared" ref="DO5:DO60" si="8">IF(ISERROR(VLOOKUP(DK5,DL5:DM62,2,0)),"",VLOOKUP(DK5,DL5:DM62,2,0))</f>
        <v/>
      </c>
    </row>
    <row r="6" spans="1:119" ht="17.25" customHeight="1">
      <c r="A6" s="589">
        <f>Daten!$DE$4</f>
        <v>0</v>
      </c>
      <c r="B6" s="589">
        <f>IF(AND(A6="x",Daten!$DF$4="x"),"x",0)</f>
        <v>0</v>
      </c>
      <c r="C6" s="589" t="s">
        <v>558</v>
      </c>
      <c r="D6" s="589" t="s">
        <v>359</v>
      </c>
      <c r="E6" s="589" t="s">
        <v>503</v>
      </c>
      <c r="F6" s="589">
        <v>6.6</v>
      </c>
      <c r="G6" s="589">
        <v>4.5999999999999996</v>
      </c>
      <c r="H6" s="589">
        <v>5</v>
      </c>
      <c r="L6" s="589" t="s">
        <v>474</v>
      </c>
      <c r="Q6" s="589">
        <v>1</v>
      </c>
      <c r="R6" s="589" t="s">
        <v>93</v>
      </c>
      <c r="T6" s="597" t="str">
        <f t="shared" si="0"/>
        <v>6,9 kWh - Accumotive Mercedes-Benz 7.5</v>
      </c>
      <c r="U6" s="589" t="s">
        <v>351</v>
      </c>
      <c r="V6" s="589" t="s">
        <v>439</v>
      </c>
      <c r="W6" s="589" t="s">
        <v>352</v>
      </c>
      <c r="X6" s="589">
        <v>7.5</v>
      </c>
      <c r="Y6" s="589">
        <v>6.9</v>
      </c>
      <c r="Z6" s="589">
        <v>3.75</v>
      </c>
      <c r="AA6" s="589">
        <v>3.75</v>
      </c>
      <c r="AB6" s="598"/>
      <c r="AC6" s="598"/>
      <c r="AD6" s="598"/>
      <c r="AE6" s="598"/>
      <c r="AF6" s="589">
        <v>5</v>
      </c>
      <c r="AH6" s="589" t="s">
        <v>299</v>
      </c>
      <c r="AI6" s="589" t="s">
        <v>29</v>
      </c>
      <c r="AJ6" s="611" t="s">
        <v>466</v>
      </c>
      <c r="AK6" s="611"/>
      <c r="AL6" s="611"/>
      <c r="AM6" s="612"/>
      <c r="AO6" s="608" t="s">
        <v>299</v>
      </c>
      <c r="AP6" s="608"/>
      <c r="AQ6" s="608"/>
      <c r="AR6" s="608"/>
      <c r="AS6" s="608"/>
      <c r="AT6" s="608"/>
      <c r="AU6" s="608"/>
      <c r="AV6" s="608"/>
      <c r="AW6" s="608"/>
      <c r="AX6" s="609"/>
      <c r="AY6" s="599"/>
      <c r="BA6" s="601">
        <v>2</v>
      </c>
      <c r="BB6" s="589">
        <v>23</v>
      </c>
      <c r="BC6" s="589">
        <v>25</v>
      </c>
      <c r="BD6" s="589">
        <v>31</v>
      </c>
      <c r="BE6" s="589">
        <v>36</v>
      </c>
      <c r="BF6" s="589">
        <v>42</v>
      </c>
      <c r="BG6" s="589">
        <v>47</v>
      </c>
      <c r="BH6" s="589">
        <v>51</v>
      </c>
      <c r="BI6" s="589">
        <v>54</v>
      </c>
      <c r="BJ6" s="589">
        <v>57</v>
      </c>
      <c r="BK6" s="589">
        <v>60</v>
      </c>
      <c r="BL6" s="589">
        <v>63</v>
      </c>
      <c r="BM6" s="589">
        <v>64</v>
      </c>
      <c r="BN6" s="589">
        <v>67</v>
      </c>
      <c r="BO6" s="589">
        <v>68</v>
      </c>
      <c r="BP6" s="589">
        <v>69</v>
      </c>
      <c r="BQ6" s="589">
        <v>72</v>
      </c>
      <c r="BR6" s="589">
        <v>73</v>
      </c>
      <c r="BS6" s="589">
        <v>74</v>
      </c>
      <c r="BU6" s="601">
        <v>2</v>
      </c>
      <c r="BV6" s="589">
        <v>98</v>
      </c>
      <c r="BW6" s="589">
        <v>97</v>
      </c>
      <c r="BX6" s="589">
        <v>94</v>
      </c>
      <c r="BY6" s="589">
        <v>89</v>
      </c>
      <c r="BZ6" s="589">
        <v>83</v>
      </c>
      <c r="CA6" s="589">
        <v>78</v>
      </c>
      <c r="CB6" s="589">
        <v>72</v>
      </c>
      <c r="CC6" s="589">
        <v>67</v>
      </c>
      <c r="CD6" s="589">
        <v>65</v>
      </c>
      <c r="CE6" s="589">
        <v>62</v>
      </c>
      <c r="CF6" s="589">
        <v>57</v>
      </c>
      <c r="CG6" s="605">
        <v>54</v>
      </c>
      <c r="CH6" s="605">
        <v>52</v>
      </c>
      <c r="CI6" s="605">
        <v>49</v>
      </c>
      <c r="CJ6" s="605">
        <v>47</v>
      </c>
      <c r="CK6" s="605">
        <v>45</v>
      </c>
      <c r="CL6" s="605">
        <v>43</v>
      </c>
      <c r="CM6" s="704">
        <v>44</v>
      </c>
      <c r="CN6" s="605">
        <v>40.285714285714299</v>
      </c>
      <c r="CO6" s="605">
        <v>38.428571428571402</v>
      </c>
      <c r="CP6" s="605">
        <v>36.571428571428598</v>
      </c>
      <c r="CQ6" s="605">
        <v>34.714285714285701</v>
      </c>
      <c r="CR6" s="605">
        <v>32.857142857142897</v>
      </c>
      <c r="CS6" s="605">
        <v>31</v>
      </c>
      <c r="CT6" s="623">
        <f t="shared" si="1"/>
        <v>1</v>
      </c>
      <c r="CU6" s="597" t="str">
        <f>IF(Daten!B8="x",VLOOKUP(Daten!$DG$3,Daten!$B8:$D$40,3,0),"")</f>
        <v>SI3.0</v>
      </c>
      <c r="CV6" s="589" t="str">
        <f t="shared" si="7"/>
        <v>SI8.0</v>
      </c>
      <c r="CW6" s="592"/>
      <c r="CX6" s="592">
        <v>1.1000000000000001</v>
      </c>
      <c r="CY6" s="592" t="s">
        <v>304</v>
      </c>
      <c r="DA6" s="624"/>
      <c r="DB6" s="592" t="str">
        <f>Daten!AR2</f>
        <v>Nedap PowerRouter</v>
      </c>
      <c r="DC6" s="623">
        <f t="shared" si="2"/>
        <v>1</v>
      </c>
      <c r="DD6" s="607" t="str">
        <f>IF(DE6="x",Daten!AR2," ")</f>
        <v xml:space="preserve"> </v>
      </c>
      <c r="DE6" s="608">
        <f>VLOOKUP('Auslegung Stromspeicher'!$B$8,Daten!$T$3:$AW$60,Daten!AR1,0)</f>
        <v>0</v>
      </c>
      <c r="DF6" s="625">
        <f>IF('Auslegung Stromspeicher'!$C$12=DD6,"x",0)</f>
        <v>0</v>
      </c>
      <c r="DH6" s="592" t="str">
        <f t="shared" si="3"/>
        <v/>
      </c>
      <c r="DK6" s="592">
        <v>4</v>
      </c>
      <c r="DL6" s="592">
        <f t="shared" si="4"/>
        <v>1</v>
      </c>
      <c r="DM6" s="626" t="str">
        <f t="shared" si="5"/>
        <v/>
      </c>
      <c r="DN6" s="623">
        <f t="shared" si="6"/>
        <v>0</v>
      </c>
      <c r="DO6" s="592" t="str">
        <f t="shared" si="8"/>
        <v/>
      </c>
    </row>
    <row r="7" spans="1:119" ht="15.75">
      <c r="A7" s="589">
        <f>Daten!$DE$11</f>
        <v>0</v>
      </c>
      <c r="B7" s="589">
        <f>IF(AND(A7="x",Daten!$DF$11="x"),"x",0)</f>
        <v>0</v>
      </c>
      <c r="C7" s="589" t="s">
        <v>556</v>
      </c>
      <c r="D7" s="589" t="s">
        <v>557</v>
      </c>
      <c r="F7" s="669"/>
      <c r="G7" s="669">
        <v>2.5</v>
      </c>
      <c r="H7" s="669">
        <v>2.5</v>
      </c>
      <c r="I7" s="669"/>
      <c r="K7" s="589" t="s">
        <v>494</v>
      </c>
      <c r="L7" s="589" t="s">
        <v>495</v>
      </c>
      <c r="M7" s="589">
        <v>2.65</v>
      </c>
      <c r="N7" s="589">
        <v>2.65</v>
      </c>
      <c r="Q7" s="589">
        <v>1</v>
      </c>
      <c r="R7" s="589" t="s">
        <v>93</v>
      </c>
      <c r="T7" s="597" t="str">
        <f t="shared" si="0"/>
        <v>9,2 kWh - Accumotive Mercedes-Benz 10.0</v>
      </c>
      <c r="U7" s="589" t="s">
        <v>351</v>
      </c>
      <c r="V7" s="589" t="s">
        <v>440</v>
      </c>
      <c r="W7" s="589" t="s">
        <v>352</v>
      </c>
      <c r="X7" s="589">
        <v>10</v>
      </c>
      <c r="Y7" s="589">
        <v>9.2000000000000011</v>
      </c>
      <c r="Z7" s="589">
        <v>6</v>
      </c>
      <c r="AA7" s="589">
        <v>6</v>
      </c>
      <c r="AB7" s="598"/>
      <c r="AC7" s="598"/>
      <c r="AD7" s="598"/>
      <c r="AE7" s="598"/>
      <c r="AF7" s="600">
        <v>4</v>
      </c>
      <c r="AG7" s="600" t="s">
        <v>356</v>
      </c>
      <c r="AH7" s="589" t="s">
        <v>299</v>
      </c>
      <c r="AI7" s="589" t="s">
        <v>29</v>
      </c>
      <c r="AJ7" s="611" t="s">
        <v>467</v>
      </c>
      <c r="AK7" s="611"/>
      <c r="AL7" s="611"/>
      <c r="AM7" s="612"/>
      <c r="AO7" s="608" t="s">
        <v>299</v>
      </c>
      <c r="AP7" s="608"/>
      <c r="AQ7" s="608"/>
      <c r="AR7" s="608"/>
      <c r="AS7" s="608"/>
      <c r="AT7" s="608"/>
      <c r="AU7" s="608"/>
      <c r="AV7" s="608"/>
      <c r="AW7" s="608"/>
      <c r="AX7" s="609"/>
      <c r="BA7" s="601">
        <v>1.9</v>
      </c>
      <c r="BB7" s="589">
        <v>23</v>
      </c>
      <c r="BC7" s="589">
        <v>25</v>
      </c>
      <c r="BD7" s="589">
        <v>31</v>
      </c>
      <c r="BE7" s="589">
        <v>36</v>
      </c>
      <c r="BF7" s="589">
        <v>42</v>
      </c>
      <c r="BG7" s="589">
        <v>47</v>
      </c>
      <c r="BH7" s="589">
        <v>51</v>
      </c>
      <c r="BI7" s="589">
        <v>54</v>
      </c>
      <c r="BJ7" s="589">
        <v>57</v>
      </c>
      <c r="BK7" s="589">
        <v>60</v>
      </c>
      <c r="BL7" s="589">
        <v>63</v>
      </c>
      <c r="BM7" s="589">
        <v>64</v>
      </c>
      <c r="BN7" s="589">
        <v>67</v>
      </c>
      <c r="BO7" s="589">
        <v>67</v>
      </c>
      <c r="BP7" s="589">
        <v>68</v>
      </c>
      <c r="BQ7" s="589">
        <v>71</v>
      </c>
      <c r="BR7" s="589">
        <v>73</v>
      </c>
      <c r="BS7" s="589">
        <v>74</v>
      </c>
      <c r="BU7" s="601">
        <v>1.9</v>
      </c>
      <c r="BV7" s="589">
        <v>98</v>
      </c>
      <c r="BW7" s="589">
        <v>96</v>
      </c>
      <c r="BX7" s="589">
        <v>94</v>
      </c>
      <c r="BY7" s="589">
        <v>88</v>
      </c>
      <c r="BZ7" s="589">
        <v>82</v>
      </c>
      <c r="CA7" s="589">
        <v>77</v>
      </c>
      <c r="CB7" s="589">
        <v>72</v>
      </c>
      <c r="CC7" s="589">
        <v>67</v>
      </c>
      <c r="CD7" s="589">
        <v>64</v>
      </c>
      <c r="CE7" s="589">
        <v>61</v>
      </c>
      <c r="CF7" s="589">
        <v>57</v>
      </c>
      <c r="CG7" s="605">
        <v>54</v>
      </c>
      <c r="CH7" s="605">
        <v>51</v>
      </c>
      <c r="CI7" s="605">
        <v>49</v>
      </c>
      <c r="CJ7" s="605">
        <v>47</v>
      </c>
      <c r="CK7" s="605">
        <v>44</v>
      </c>
      <c r="CL7" s="605">
        <v>43</v>
      </c>
      <c r="CM7" s="704">
        <v>44</v>
      </c>
      <c r="CN7" s="605">
        <v>40.142857142857103</v>
      </c>
      <c r="CO7" s="605">
        <v>38.321428571428498</v>
      </c>
      <c r="CP7" s="605">
        <v>36.5</v>
      </c>
      <c r="CQ7" s="605">
        <v>34.678571428571402</v>
      </c>
      <c r="CR7" s="605">
        <v>32.857142857142797</v>
      </c>
      <c r="CS7" s="605">
        <v>31.035714285714299</v>
      </c>
      <c r="CT7" s="623">
        <f t="shared" si="1"/>
        <v>2</v>
      </c>
      <c r="CU7" s="597" t="str">
        <f>IF(Daten!B9="x",VLOOKUP(Daten!$DG$3,Daten!$B9:$D$40,3,0),"")</f>
        <v>SI4.4</v>
      </c>
      <c r="CV7" s="589" t="str">
        <f t="shared" si="7"/>
        <v>SI9.0</v>
      </c>
      <c r="CW7" s="592"/>
      <c r="CX7" s="592">
        <v>1.1499999999999999</v>
      </c>
      <c r="CY7" s="592" t="s">
        <v>304</v>
      </c>
      <c r="DA7" s="624"/>
      <c r="DB7" s="592" t="str">
        <f>Daten!AS2</f>
        <v>SolarEdge</v>
      </c>
      <c r="DC7" s="623">
        <f t="shared" si="2"/>
        <v>1</v>
      </c>
      <c r="DD7" s="607" t="str">
        <f>IF(DE7="x",Daten!AS2," ")</f>
        <v xml:space="preserve"> </v>
      </c>
      <c r="DE7" s="608">
        <f>VLOOKUP('Auslegung Stromspeicher'!$B$8,Daten!$T$3:$AW$60,Daten!AS1,0)</f>
        <v>0</v>
      </c>
      <c r="DF7" s="625">
        <f>IF('Auslegung Stromspeicher'!$C$12=DD7,"x",0)</f>
        <v>0</v>
      </c>
      <c r="DH7" s="592" t="str">
        <f t="shared" si="3"/>
        <v/>
      </c>
      <c r="DK7" s="592">
        <v>5</v>
      </c>
      <c r="DL7" s="592">
        <f t="shared" si="4"/>
        <v>1</v>
      </c>
      <c r="DM7" s="626" t="str">
        <f t="shared" si="5"/>
        <v/>
      </c>
      <c r="DN7" s="623">
        <f t="shared" si="6"/>
        <v>0</v>
      </c>
      <c r="DO7" s="592" t="str">
        <f t="shared" si="8"/>
        <v/>
      </c>
    </row>
    <row r="8" spans="1:119" ht="15" customHeight="1">
      <c r="A8" s="589" t="str">
        <f>Daten!$DE$3</f>
        <v>x</v>
      </c>
      <c r="B8" s="589" t="str">
        <f>IF(AND(A8="x",Daten!$DF$3="x"),"x",0)</f>
        <v>x</v>
      </c>
      <c r="C8" s="589" t="s">
        <v>314</v>
      </c>
      <c r="D8" s="589" t="s">
        <v>316</v>
      </c>
      <c r="G8" s="601">
        <v>2.2999999999999998</v>
      </c>
      <c r="H8" s="589">
        <v>5.5</v>
      </c>
      <c r="I8" s="601">
        <v>2.2999999999999998</v>
      </c>
      <c r="J8" s="601">
        <v>5.5</v>
      </c>
      <c r="K8" s="601" t="s">
        <v>478</v>
      </c>
      <c r="L8" s="601" t="s">
        <v>476</v>
      </c>
      <c r="M8" s="601">
        <v>2.4500000000000002</v>
      </c>
      <c r="N8" s="601">
        <v>2.4500000000000002</v>
      </c>
      <c r="O8" s="601"/>
      <c r="P8" s="601"/>
      <c r="Q8" s="589">
        <v>1</v>
      </c>
      <c r="R8" s="589" t="s">
        <v>360</v>
      </c>
      <c r="T8" s="597" t="str">
        <f t="shared" si="0"/>
        <v>13,8 kWh - Accumotive Mercedes-Benz 15.0</v>
      </c>
      <c r="U8" s="589" t="s">
        <v>351</v>
      </c>
      <c r="V8" s="589" t="s">
        <v>441</v>
      </c>
      <c r="W8" s="589" t="s">
        <v>352</v>
      </c>
      <c r="X8" s="589">
        <v>15</v>
      </c>
      <c r="Y8" s="589">
        <v>13.8</v>
      </c>
      <c r="Z8" s="589">
        <v>7.25</v>
      </c>
      <c r="AA8" s="589">
        <v>7.25</v>
      </c>
      <c r="AB8" s="598"/>
      <c r="AC8" s="598"/>
      <c r="AD8" s="598"/>
      <c r="AE8" s="598"/>
      <c r="AF8" s="600">
        <v>2</v>
      </c>
      <c r="AG8" s="600" t="s">
        <v>356</v>
      </c>
      <c r="AH8" s="589" t="s">
        <v>299</v>
      </c>
      <c r="AI8" s="589" t="s">
        <v>29</v>
      </c>
      <c r="AJ8" s="611" t="s">
        <v>469</v>
      </c>
      <c r="AK8" s="611"/>
      <c r="AL8" s="611"/>
      <c r="AM8" s="612"/>
      <c r="AO8" s="608" t="s">
        <v>299</v>
      </c>
      <c r="AP8" s="608"/>
      <c r="AQ8" s="608"/>
      <c r="AR8" s="608"/>
      <c r="AS8" s="608"/>
      <c r="AT8" s="608"/>
      <c r="AU8" s="608"/>
      <c r="AV8" s="608"/>
      <c r="AW8" s="608"/>
      <c r="AX8" s="609"/>
      <c r="AZ8" s="790" t="s">
        <v>362</v>
      </c>
      <c r="BA8" s="601">
        <v>1.8</v>
      </c>
      <c r="BB8" s="589">
        <v>23</v>
      </c>
      <c r="BC8" s="589">
        <v>25</v>
      </c>
      <c r="BD8" s="589">
        <v>31</v>
      </c>
      <c r="BE8" s="589">
        <v>36</v>
      </c>
      <c r="BF8" s="589">
        <v>42</v>
      </c>
      <c r="BG8" s="589">
        <v>47</v>
      </c>
      <c r="BH8" s="589">
        <v>51</v>
      </c>
      <c r="BI8" s="589">
        <v>53</v>
      </c>
      <c r="BJ8" s="589">
        <v>56</v>
      </c>
      <c r="BK8" s="589">
        <v>59</v>
      </c>
      <c r="BL8" s="589">
        <v>63</v>
      </c>
      <c r="BM8" s="589">
        <v>63</v>
      </c>
      <c r="BN8" s="589">
        <v>66</v>
      </c>
      <c r="BO8" s="589">
        <v>67</v>
      </c>
      <c r="BP8" s="589">
        <v>68</v>
      </c>
      <c r="BQ8" s="589">
        <v>70</v>
      </c>
      <c r="BR8" s="589">
        <v>72</v>
      </c>
      <c r="BS8" s="589">
        <v>73</v>
      </c>
      <c r="BT8" s="790" t="s">
        <v>362</v>
      </c>
      <c r="BU8" s="601">
        <v>1.8</v>
      </c>
      <c r="BV8" s="589">
        <v>98</v>
      </c>
      <c r="BW8" s="589">
        <v>96</v>
      </c>
      <c r="BX8" s="589">
        <v>93</v>
      </c>
      <c r="BY8" s="589">
        <v>87</v>
      </c>
      <c r="BZ8" s="589">
        <v>82</v>
      </c>
      <c r="CA8" s="589">
        <v>77</v>
      </c>
      <c r="CB8" s="589">
        <v>71</v>
      </c>
      <c r="CC8" s="589">
        <v>66</v>
      </c>
      <c r="CD8" s="589">
        <v>64</v>
      </c>
      <c r="CE8" s="589">
        <v>61</v>
      </c>
      <c r="CF8" s="589">
        <v>57</v>
      </c>
      <c r="CG8" s="605">
        <v>53</v>
      </c>
      <c r="CH8" s="605">
        <v>51</v>
      </c>
      <c r="CI8" s="605">
        <v>48</v>
      </c>
      <c r="CJ8" s="605">
        <v>46</v>
      </c>
      <c r="CK8" s="605">
        <v>43</v>
      </c>
      <c r="CL8" s="605">
        <v>43</v>
      </c>
      <c r="CM8" s="704">
        <v>44</v>
      </c>
      <c r="CN8" s="605">
        <v>40</v>
      </c>
      <c r="CO8" s="605">
        <v>38.285714285714299</v>
      </c>
      <c r="CP8" s="605">
        <v>36.571428571428598</v>
      </c>
      <c r="CQ8" s="605">
        <v>34.857142857142897</v>
      </c>
      <c r="CR8" s="605">
        <v>33.142857142857103</v>
      </c>
      <c r="CS8" s="605">
        <v>31.428571428571399</v>
      </c>
      <c r="CT8" s="623">
        <f t="shared" si="1"/>
        <v>3</v>
      </c>
      <c r="CU8" s="597" t="str">
        <f>IF(Daten!B10="x",VLOOKUP(Daten!$DG$3,Daten!$B10:$D$40,3,0),"")</f>
        <v>SI6.0</v>
      </c>
      <c r="CV8" s="589" t="str">
        <f t="shared" si="7"/>
        <v>SI13.2</v>
      </c>
      <c r="CW8" s="592"/>
      <c r="CX8" s="592">
        <v>1.2</v>
      </c>
      <c r="CY8" s="592" t="s">
        <v>310</v>
      </c>
      <c r="DB8" s="592" t="str">
        <f>Daten!AT2</f>
        <v>SolaX</v>
      </c>
      <c r="DC8" s="623">
        <f t="shared" si="2"/>
        <v>1</v>
      </c>
      <c r="DD8" s="607" t="str">
        <f>IF(DE8="x",Daten!AT2," ")</f>
        <v xml:space="preserve"> </v>
      </c>
      <c r="DE8" s="608">
        <f>VLOOKUP('Auslegung Stromspeicher'!$B$8,Daten!$T$3:$AW$60,Daten!AT1,0)</f>
        <v>0</v>
      </c>
      <c r="DF8" s="625">
        <f>IF('Auslegung Stromspeicher'!$C$12=DD8,"x",0)</f>
        <v>0</v>
      </c>
      <c r="DH8" s="592" t="str">
        <f t="shared" si="3"/>
        <v/>
      </c>
      <c r="DK8" s="592">
        <v>6</v>
      </c>
      <c r="DL8" s="592">
        <f t="shared" si="4"/>
        <v>1</v>
      </c>
      <c r="DM8" s="626" t="str">
        <f t="shared" si="5"/>
        <v/>
      </c>
      <c r="DN8" s="623">
        <f t="shared" si="6"/>
        <v>0</v>
      </c>
      <c r="DO8" s="592" t="str">
        <f t="shared" si="8"/>
        <v/>
      </c>
    </row>
    <row r="9" spans="1:119" ht="15.75">
      <c r="A9" s="589" t="str">
        <f>Daten!$DE$3</f>
        <v>x</v>
      </c>
      <c r="B9" s="589" t="str">
        <f>IF(AND(A9="x",Daten!$DF$3="x"),"x",0)</f>
        <v>x</v>
      </c>
      <c r="C9" s="589" t="s">
        <v>314</v>
      </c>
      <c r="D9" s="589" t="s">
        <v>361</v>
      </c>
      <c r="G9" s="601">
        <v>3.3</v>
      </c>
      <c r="H9" s="589">
        <v>5.5</v>
      </c>
      <c r="I9" s="601">
        <v>3.3</v>
      </c>
      <c r="J9" s="601">
        <v>5.5</v>
      </c>
      <c r="K9" s="601" t="s">
        <v>478</v>
      </c>
      <c r="L9" s="601" t="s">
        <v>476</v>
      </c>
      <c r="M9" s="601">
        <v>3.6</v>
      </c>
      <c r="N9" s="601">
        <v>3.6</v>
      </c>
      <c r="O9" s="601"/>
      <c r="P9" s="601"/>
      <c r="Q9" s="589">
        <v>1</v>
      </c>
      <c r="R9" s="589" t="s">
        <v>360</v>
      </c>
      <c r="T9" s="597" t="str">
        <f t="shared" si="0"/>
        <v>18,4 kWh - Accumotive Mercedes-Benz 20.0</v>
      </c>
      <c r="U9" s="589" t="s">
        <v>351</v>
      </c>
      <c r="V9" s="589" t="s">
        <v>442</v>
      </c>
      <c r="W9" s="589" t="s">
        <v>352</v>
      </c>
      <c r="X9" s="589">
        <v>20</v>
      </c>
      <c r="Y9" s="589">
        <v>18.400000000000002</v>
      </c>
      <c r="Z9" s="589">
        <v>9.5</v>
      </c>
      <c r="AA9" s="589">
        <v>9.5</v>
      </c>
      <c r="AB9" s="598"/>
      <c r="AC9" s="598"/>
      <c r="AD9" s="598"/>
      <c r="AE9" s="598"/>
      <c r="AG9" s="600" t="s">
        <v>356</v>
      </c>
      <c r="AH9" s="589" t="s">
        <v>299</v>
      </c>
      <c r="AI9" s="589" t="s">
        <v>29</v>
      </c>
      <c r="AJ9" s="611" t="s">
        <v>468</v>
      </c>
      <c r="AK9" s="611"/>
      <c r="AL9" s="611"/>
      <c r="AM9" s="612"/>
      <c r="AO9" s="608" t="s">
        <v>299</v>
      </c>
      <c r="AP9" s="608"/>
      <c r="AQ9" s="608"/>
      <c r="AR9" s="608"/>
      <c r="AS9" s="608"/>
      <c r="AT9" s="608"/>
      <c r="AU9" s="608"/>
      <c r="AV9" s="608"/>
      <c r="AW9" s="608"/>
      <c r="AX9" s="609"/>
      <c r="AY9" s="599"/>
      <c r="AZ9" s="790"/>
      <c r="BA9" s="601">
        <v>1.7</v>
      </c>
      <c r="BB9" s="589">
        <v>23</v>
      </c>
      <c r="BC9" s="589">
        <v>25</v>
      </c>
      <c r="BD9" s="589">
        <v>31</v>
      </c>
      <c r="BE9" s="589">
        <v>36</v>
      </c>
      <c r="BF9" s="589">
        <v>42</v>
      </c>
      <c r="BG9" s="589">
        <v>46</v>
      </c>
      <c r="BH9" s="589">
        <v>50</v>
      </c>
      <c r="BI9" s="589">
        <v>53</v>
      </c>
      <c r="BJ9" s="589">
        <v>56</v>
      </c>
      <c r="BK9" s="589">
        <v>59</v>
      </c>
      <c r="BL9" s="589">
        <v>62</v>
      </c>
      <c r="BM9" s="589">
        <v>63</v>
      </c>
      <c r="BN9" s="589">
        <v>65</v>
      </c>
      <c r="BO9" s="589">
        <v>67</v>
      </c>
      <c r="BP9" s="589">
        <v>67</v>
      </c>
      <c r="BQ9" s="589">
        <v>69</v>
      </c>
      <c r="BR9" s="589">
        <v>71</v>
      </c>
      <c r="BS9" s="589">
        <v>72</v>
      </c>
      <c r="BT9" s="790"/>
      <c r="BU9" s="601">
        <v>1.7</v>
      </c>
      <c r="BV9" s="589">
        <v>98</v>
      </c>
      <c r="BW9" s="589">
        <v>96</v>
      </c>
      <c r="BX9" s="589">
        <v>92</v>
      </c>
      <c r="BY9" s="589">
        <v>87</v>
      </c>
      <c r="BZ9" s="589">
        <v>81</v>
      </c>
      <c r="CA9" s="589">
        <v>76</v>
      </c>
      <c r="CB9" s="589">
        <v>71</v>
      </c>
      <c r="CC9" s="589">
        <v>66</v>
      </c>
      <c r="CD9" s="589">
        <v>63</v>
      </c>
      <c r="CE9" s="589">
        <v>60</v>
      </c>
      <c r="CF9" s="589">
        <v>56</v>
      </c>
      <c r="CG9" s="605">
        <v>53</v>
      </c>
      <c r="CH9" s="605">
        <v>50</v>
      </c>
      <c r="CI9" s="605">
        <v>47</v>
      </c>
      <c r="CJ9" s="605">
        <v>46</v>
      </c>
      <c r="CK9" s="605">
        <v>43</v>
      </c>
      <c r="CL9" s="605">
        <v>42</v>
      </c>
      <c r="CM9" s="704">
        <v>43</v>
      </c>
      <c r="CN9" s="605">
        <v>39.142857142857103</v>
      </c>
      <c r="CO9" s="605">
        <v>37.357142857142797</v>
      </c>
      <c r="CP9" s="605">
        <v>35.571428571428498</v>
      </c>
      <c r="CQ9" s="605">
        <v>33.785714285714199</v>
      </c>
      <c r="CR9" s="605">
        <v>32</v>
      </c>
      <c r="CS9" s="605">
        <v>30.214285714285701</v>
      </c>
      <c r="CT9" s="623">
        <f t="shared" si="1"/>
        <v>4</v>
      </c>
      <c r="CU9" s="597" t="str">
        <f>IF(Daten!B11="x",VLOOKUP(Daten!$DG$3,Daten!$B11:$D$40,3,0),"")</f>
        <v>SI8.0</v>
      </c>
      <c r="CV9" s="589" t="str">
        <f t="shared" si="7"/>
        <v>SI18.0</v>
      </c>
      <c r="CW9" s="592"/>
      <c r="CX9" s="592">
        <v>1.25</v>
      </c>
      <c r="CY9" s="592" t="s">
        <v>312</v>
      </c>
      <c r="DB9" s="592" t="str">
        <f>Daten!AU2</f>
        <v>LG ESS</v>
      </c>
      <c r="DC9" s="623">
        <f t="shared" si="2"/>
        <v>1</v>
      </c>
      <c r="DD9" s="607" t="str">
        <f>IF(DE9="x",Daten!AU2," ")</f>
        <v xml:space="preserve"> </v>
      </c>
      <c r="DE9" s="608">
        <f>VLOOKUP('Auslegung Stromspeicher'!$B$8,Daten!$T$3:$AW$60,Daten!AU1,0)</f>
        <v>0</v>
      </c>
      <c r="DF9" s="625">
        <f>IF('Auslegung Stromspeicher'!$C$12=DD9,"x",0)</f>
        <v>0</v>
      </c>
      <c r="DH9" s="592" t="str">
        <f t="shared" si="3"/>
        <v/>
      </c>
      <c r="DK9" s="592">
        <v>7</v>
      </c>
      <c r="DL9" s="592">
        <f t="shared" si="4"/>
        <v>1</v>
      </c>
      <c r="DM9" s="626" t="str">
        <f t="shared" si="5"/>
        <v/>
      </c>
      <c r="DN9" s="623">
        <f t="shared" si="6"/>
        <v>0</v>
      </c>
      <c r="DO9" s="592" t="str">
        <f t="shared" si="8"/>
        <v/>
      </c>
    </row>
    <row r="10" spans="1:119" ht="15.75">
      <c r="A10" s="589" t="str">
        <f>Daten!$DE$3</f>
        <v>x</v>
      </c>
      <c r="B10" s="589" t="str">
        <f>IF(AND(A10="x",Daten!$DF$3="x"),"x",0)</f>
        <v>x</v>
      </c>
      <c r="C10" s="589" t="s">
        <v>314</v>
      </c>
      <c r="D10" s="589" t="s">
        <v>363</v>
      </c>
      <c r="G10" s="601">
        <v>4.5999999999999996</v>
      </c>
      <c r="H10" s="589">
        <v>11</v>
      </c>
      <c r="I10" s="601">
        <v>4.5999999999999996</v>
      </c>
      <c r="J10" s="601">
        <v>11</v>
      </c>
      <c r="K10" s="601" t="s">
        <v>480</v>
      </c>
      <c r="L10" s="601" t="s">
        <v>479</v>
      </c>
      <c r="M10" s="601">
        <v>5.28</v>
      </c>
      <c r="N10" s="601">
        <v>5.28</v>
      </c>
      <c r="O10" s="601"/>
      <c r="P10" s="601"/>
      <c r="Q10" s="589">
        <v>1</v>
      </c>
      <c r="R10" s="589" t="s">
        <v>360</v>
      </c>
      <c r="T10" s="597" t="str">
        <f t="shared" si="0"/>
        <v>5 kWh - Akasol NeeoQube</v>
      </c>
      <c r="U10" s="589" t="s">
        <v>364</v>
      </c>
      <c r="V10" s="589" t="s">
        <v>429</v>
      </c>
      <c r="W10" s="589" t="s">
        <v>352</v>
      </c>
      <c r="X10" s="589">
        <v>5.5</v>
      </c>
      <c r="Y10" s="589">
        <v>5</v>
      </c>
      <c r="Z10" s="589">
        <v>5</v>
      </c>
      <c r="AA10" s="589">
        <v>5</v>
      </c>
      <c r="AB10" s="598"/>
      <c r="AC10" s="598"/>
      <c r="AD10" s="598"/>
      <c r="AE10" s="598"/>
      <c r="AF10" s="589">
        <v>1</v>
      </c>
      <c r="AG10" s="600" t="s">
        <v>356</v>
      </c>
      <c r="AI10" s="589" t="s">
        <v>365</v>
      </c>
      <c r="AJ10" s="611"/>
      <c r="AK10" s="611"/>
      <c r="AL10" s="611"/>
      <c r="AM10" s="612"/>
      <c r="AO10" s="608" t="s">
        <v>299</v>
      </c>
      <c r="AP10" s="608"/>
      <c r="AQ10" s="608"/>
      <c r="AR10" s="608"/>
      <c r="AS10" s="608"/>
      <c r="AT10" s="608"/>
      <c r="AU10" s="608"/>
      <c r="AV10" s="608"/>
      <c r="AW10" s="608"/>
      <c r="AX10" s="609"/>
      <c r="AY10" s="599"/>
      <c r="AZ10" s="790"/>
      <c r="BA10" s="601">
        <v>1.6</v>
      </c>
      <c r="BB10" s="589">
        <v>23</v>
      </c>
      <c r="BC10" s="589">
        <v>25</v>
      </c>
      <c r="BD10" s="589">
        <v>31</v>
      </c>
      <c r="BE10" s="589">
        <v>36</v>
      </c>
      <c r="BF10" s="589">
        <v>42</v>
      </c>
      <c r="BG10" s="589">
        <v>46</v>
      </c>
      <c r="BH10" s="589">
        <v>50</v>
      </c>
      <c r="BI10" s="589">
        <v>53</v>
      </c>
      <c r="BJ10" s="589">
        <v>56</v>
      </c>
      <c r="BK10" s="589">
        <v>58</v>
      </c>
      <c r="BL10" s="589">
        <v>62</v>
      </c>
      <c r="BM10" s="589">
        <v>62</v>
      </c>
      <c r="BN10" s="589">
        <v>65</v>
      </c>
      <c r="BO10" s="589">
        <v>66</v>
      </c>
      <c r="BP10" s="589">
        <v>67</v>
      </c>
      <c r="BQ10" s="589">
        <v>68</v>
      </c>
      <c r="BR10" s="589">
        <v>70</v>
      </c>
      <c r="BS10" s="589">
        <v>71</v>
      </c>
      <c r="BT10" s="790"/>
      <c r="BU10" s="601">
        <v>1.6</v>
      </c>
      <c r="BV10" s="589">
        <v>97</v>
      </c>
      <c r="BW10" s="589">
        <v>95</v>
      </c>
      <c r="BX10" s="589">
        <v>92</v>
      </c>
      <c r="BY10" s="589">
        <v>86</v>
      </c>
      <c r="BZ10" s="589">
        <v>81</v>
      </c>
      <c r="CA10" s="589">
        <v>76</v>
      </c>
      <c r="CB10" s="589">
        <v>70</v>
      </c>
      <c r="CC10" s="589">
        <v>66</v>
      </c>
      <c r="CD10" s="589">
        <v>63</v>
      </c>
      <c r="CE10" s="589">
        <v>59</v>
      </c>
      <c r="CF10" s="589">
        <v>56</v>
      </c>
      <c r="CG10" s="605">
        <v>53</v>
      </c>
      <c r="CH10" s="605">
        <v>50</v>
      </c>
      <c r="CI10" s="605">
        <v>47</v>
      </c>
      <c r="CJ10" s="605">
        <v>45</v>
      </c>
      <c r="CK10" s="605">
        <v>43</v>
      </c>
      <c r="CL10" s="605">
        <v>41</v>
      </c>
      <c r="CM10" s="704">
        <v>42</v>
      </c>
      <c r="CN10" s="605">
        <v>38</v>
      </c>
      <c r="CO10" s="605">
        <v>36.035714285714299</v>
      </c>
      <c r="CP10" s="605">
        <v>34.071428571428598</v>
      </c>
      <c r="CQ10" s="605">
        <v>32.107142857142897</v>
      </c>
      <c r="CR10" s="605">
        <v>30.142857142857199</v>
      </c>
      <c r="CS10" s="605">
        <v>28.178571428571399</v>
      </c>
      <c r="CT10" s="623">
        <f t="shared" si="1"/>
        <v>5</v>
      </c>
      <c r="CU10" s="597" t="str">
        <f>IF(Daten!B12="x",VLOOKUP(Daten!$DG$3,Daten!$B12:$D$40,3,0),"")</f>
        <v>SI9.0</v>
      </c>
      <c r="CV10" s="589" t="str">
        <f t="shared" si="7"/>
        <v>SI24.0</v>
      </c>
      <c r="CW10" s="592"/>
      <c r="CX10" s="592">
        <v>1.3</v>
      </c>
      <c r="CY10" s="592" t="s">
        <v>312</v>
      </c>
      <c r="DB10" s="592" t="str">
        <f>Daten!AV2</f>
        <v>Victron energy</v>
      </c>
      <c r="DC10" s="623">
        <f t="shared" si="2"/>
        <v>1</v>
      </c>
      <c r="DD10" s="607" t="str">
        <f>IF(DE10="x",Daten!AV2," ")</f>
        <v xml:space="preserve"> </v>
      </c>
      <c r="DE10" s="608">
        <f>VLOOKUP('Auslegung Stromspeicher'!$B$8,Daten!$T$3:$AW$60,Daten!AV1,0)</f>
        <v>0</v>
      </c>
      <c r="DF10" s="625">
        <f>IF('Auslegung Stromspeicher'!$C$12=DD10,"x",0)</f>
        <v>0</v>
      </c>
      <c r="DH10" s="592" t="str">
        <f t="shared" si="3"/>
        <v/>
      </c>
      <c r="DK10" s="592">
        <v>8</v>
      </c>
      <c r="DL10" s="592">
        <f t="shared" si="4"/>
        <v>1</v>
      </c>
      <c r="DM10" s="626" t="str">
        <f t="shared" si="5"/>
        <v/>
      </c>
      <c r="DN10" s="623">
        <f t="shared" si="6"/>
        <v>0</v>
      </c>
      <c r="DO10" s="592" t="str">
        <f t="shared" si="8"/>
        <v/>
      </c>
    </row>
    <row r="11" spans="1:119" ht="15.75">
      <c r="A11" s="589" t="str">
        <f>Daten!$DE$3</f>
        <v>x</v>
      </c>
      <c r="B11" s="589" t="str">
        <f>IF(AND(A11="x",Daten!$DF$3="x"),"x",0)</f>
        <v>x</v>
      </c>
      <c r="C11" s="589" t="s">
        <v>314</v>
      </c>
      <c r="D11" s="589" t="s">
        <v>366</v>
      </c>
      <c r="G11" s="601">
        <v>6</v>
      </c>
      <c r="H11" s="589">
        <v>11</v>
      </c>
      <c r="I11" s="601">
        <v>6</v>
      </c>
      <c r="J11" s="601">
        <v>11</v>
      </c>
      <c r="K11" s="601" t="s">
        <v>480</v>
      </c>
      <c r="L11" s="601" t="s">
        <v>479</v>
      </c>
      <c r="M11" s="601">
        <v>6.72</v>
      </c>
      <c r="N11" s="601">
        <v>6.72</v>
      </c>
      <c r="O11" s="601"/>
      <c r="P11" s="601"/>
      <c r="Q11" s="589">
        <v>1</v>
      </c>
      <c r="R11" s="589" t="s">
        <v>360</v>
      </c>
      <c r="S11" s="589" t="s">
        <v>299</v>
      </c>
      <c r="T11" s="597" t="str">
        <f t="shared" si="0"/>
        <v>5 kWh - Akasol neeoSystem Typ 1</v>
      </c>
      <c r="U11" s="589" t="s">
        <v>364</v>
      </c>
      <c r="V11" s="589" t="s">
        <v>367</v>
      </c>
      <c r="W11" s="589" t="s">
        <v>352</v>
      </c>
      <c r="X11" s="589">
        <v>5.5</v>
      </c>
      <c r="Y11" s="589">
        <v>5</v>
      </c>
      <c r="Z11" s="589">
        <v>5</v>
      </c>
      <c r="AA11" s="589">
        <v>5</v>
      </c>
      <c r="AB11" s="598"/>
      <c r="AC11" s="598"/>
      <c r="AD11" s="598"/>
      <c r="AE11" s="598"/>
      <c r="AF11" s="589">
        <v>2</v>
      </c>
      <c r="AG11" s="600" t="s">
        <v>356</v>
      </c>
      <c r="AH11" s="589" t="s">
        <v>299</v>
      </c>
      <c r="AI11" s="589" t="s">
        <v>365</v>
      </c>
      <c r="AJ11" s="611"/>
      <c r="AK11" s="611"/>
      <c r="AL11" s="611"/>
      <c r="AM11" s="612"/>
      <c r="AO11" s="608" t="s">
        <v>299</v>
      </c>
      <c r="AP11" s="608"/>
      <c r="AQ11" s="608"/>
      <c r="AR11" s="608"/>
      <c r="AS11" s="608"/>
      <c r="AT11" s="608"/>
      <c r="AU11" s="608"/>
      <c r="AV11" s="608"/>
      <c r="AW11" s="608"/>
      <c r="AX11" s="609"/>
      <c r="AY11" s="599"/>
      <c r="AZ11" s="790"/>
      <c r="BA11" s="601">
        <v>1.5</v>
      </c>
      <c r="BB11" s="589">
        <v>23</v>
      </c>
      <c r="BC11" s="589">
        <v>25</v>
      </c>
      <c r="BD11" s="589">
        <v>30</v>
      </c>
      <c r="BE11" s="589">
        <v>36</v>
      </c>
      <c r="BF11" s="589">
        <v>42</v>
      </c>
      <c r="BG11" s="589">
        <v>46</v>
      </c>
      <c r="BH11" s="589">
        <v>49</v>
      </c>
      <c r="BI11" s="589">
        <v>52</v>
      </c>
      <c r="BJ11" s="602">
        <v>55</v>
      </c>
      <c r="BK11" s="589">
        <v>57</v>
      </c>
      <c r="BL11" s="589">
        <v>61</v>
      </c>
      <c r="BM11" s="589">
        <v>62</v>
      </c>
      <c r="BN11" s="589">
        <v>64</v>
      </c>
      <c r="BO11" s="589">
        <v>65</v>
      </c>
      <c r="BP11" s="589">
        <v>66</v>
      </c>
      <c r="BQ11" s="589">
        <v>67</v>
      </c>
      <c r="BR11" s="589">
        <v>68</v>
      </c>
      <c r="BS11" s="589">
        <v>70</v>
      </c>
      <c r="BT11" s="790"/>
      <c r="BU11" s="601">
        <v>1.5</v>
      </c>
      <c r="BV11" s="589">
        <v>97</v>
      </c>
      <c r="BW11" s="589">
        <v>95</v>
      </c>
      <c r="BX11" s="589">
        <v>91</v>
      </c>
      <c r="BY11" s="589">
        <v>86</v>
      </c>
      <c r="BZ11" s="589">
        <v>80</v>
      </c>
      <c r="CA11" s="589">
        <v>75</v>
      </c>
      <c r="CB11" s="589">
        <v>70</v>
      </c>
      <c r="CC11" s="589">
        <v>65</v>
      </c>
      <c r="CD11" s="602">
        <v>62</v>
      </c>
      <c r="CE11" s="589">
        <v>58</v>
      </c>
      <c r="CF11" s="589">
        <v>55</v>
      </c>
      <c r="CG11" s="605">
        <v>52</v>
      </c>
      <c r="CH11" s="605">
        <v>48</v>
      </c>
      <c r="CI11" s="605">
        <v>46</v>
      </c>
      <c r="CJ11" s="605">
        <v>44</v>
      </c>
      <c r="CK11" s="605">
        <v>42</v>
      </c>
      <c r="CL11" s="605">
        <v>40</v>
      </c>
      <c r="CM11" s="704">
        <v>41</v>
      </c>
      <c r="CN11" s="605">
        <v>37.142857142857103</v>
      </c>
      <c r="CO11" s="605">
        <v>35.25</v>
      </c>
      <c r="CP11" s="605">
        <v>33.357142857142797</v>
      </c>
      <c r="CQ11" s="605">
        <v>31.464285714285701</v>
      </c>
      <c r="CR11" s="605">
        <v>29.571428571428498</v>
      </c>
      <c r="CS11" s="605">
        <v>27.678571428571399</v>
      </c>
      <c r="CT11" s="623">
        <f t="shared" si="1"/>
        <v>6</v>
      </c>
      <c r="CU11" s="597" t="str">
        <f>IF(Daten!B13="x",VLOOKUP(Daten!$DG$3,Daten!$B13:$D$40,3,0),"")</f>
        <v>SI13.2</v>
      </c>
      <c r="CV11" s="589" t="str">
        <f t="shared" si="7"/>
        <v/>
      </c>
      <c r="CW11" s="592"/>
      <c r="CX11" s="592">
        <v>1.35</v>
      </c>
      <c r="CY11" s="592" t="s">
        <v>312</v>
      </c>
      <c r="DB11" s="592" t="str">
        <f>Daten!AW2</f>
        <v>SMA SBS</v>
      </c>
      <c r="DC11" s="623">
        <f t="shared" si="2"/>
        <v>1</v>
      </c>
      <c r="DD11" s="607" t="str">
        <f>IF(DE11="x",Daten!AW2," ")</f>
        <v xml:space="preserve"> </v>
      </c>
      <c r="DE11" s="608">
        <f>VLOOKUP('Auslegung Stromspeicher'!$B$8,Daten!$T$3:$AW$60,Daten!AW1,0)</f>
        <v>0</v>
      </c>
      <c r="DF11" s="625">
        <f>IF('Auslegung Stromspeicher'!$C$12=DD11,"x",0)</f>
        <v>0</v>
      </c>
      <c r="DH11" s="592" t="str">
        <f t="shared" si="3"/>
        <v/>
      </c>
      <c r="DK11" s="592">
        <v>9</v>
      </c>
      <c r="DL11" s="592">
        <f t="shared" si="4"/>
        <v>1</v>
      </c>
      <c r="DM11" s="626" t="str">
        <f t="shared" si="5"/>
        <v/>
      </c>
      <c r="DN11" s="623">
        <f t="shared" si="6"/>
        <v>0</v>
      </c>
      <c r="DO11" s="592" t="str">
        <f t="shared" si="8"/>
        <v/>
      </c>
    </row>
    <row r="12" spans="1:119" ht="15.75">
      <c r="A12" s="589" t="str">
        <f>Daten!$DE$3</f>
        <v>x</v>
      </c>
      <c r="B12" s="589" t="str">
        <f>IF(AND(A12="x",Daten!$DF$3="x"),"x",0)</f>
        <v>x</v>
      </c>
      <c r="C12" s="589" t="s">
        <v>314</v>
      </c>
      <c r="D12" s="589" t="s">
        <v>368</v>
      </c>
      <c r="G12" s="601">
        <v>6.9</v>
      </c>
      <c r="H12" s="589">
        <v>5.5</v>
      </c>
      <c r="I12" s="601">
        <v>3.3</v>
      </c>
      <c r="J12" s="601">
        <v>5.5</v>
      </c>
      <c r="K12" s="601" t="s">
        <v>478</v>
      </c>
      <c r="L12" s="601" t="s">
        <v>476</v>
      </c>
      <c r="M12" s="601">
        <f>M7*3</f>
        <v>7.9499999999999993</v>
      </c>
      <c r="N12" s="601">
        <f>N7*3</f>
        <v>7.9499999999999993</v>
      </c>
      <c r="O12" s="601"/>
      <c r="P12" s="601"/>
      <c r="Q12" s="589">
        <v>3</v>
      </c>
      <c r="R12" s="589" t="s">
        <v>360</v>
      </c>
      <c r="S12" s="589" t="s">
        <v>299</v>
      </c>
      <c r="T12" s="597" t="str">
        <f t="shared" si="0"/>
        <v>5 kWh - Akasol Neo Rack</v>
      </c>
      <c r="U12" s="600" t="s">
        <v>364</v>
      </c>
      <c r="V12" s="600" t="s">
        <v>428</v>
      </c>
      <c r="W12" s="589" t="s">
        <v>425</v>
      </c>
      <c r="X12" s="589">
        <v>5.5</v>
      </c>
      <c r="Y12" s="589">
        <v>5</v>
      </c>
      <c r="Z12" s="589">
        <v>5</v>
      </c>
      <c r="AA12" s="589">
        <v>5</v>
      </c>
      <c r="AB12" s="599"/>
      <c r="AC12" s="600"/>
      <c r="AO12" s="608"/>
      <c r="AP12" s="608"/>
      <c r="AQ12" s="608"/>
      <c r="AR12" s="608"/>
      <c r="AS12" s="608"/>
      <c r="AT12" s="608"/>
      <c r="AU12" s="608"/>
      <c r="AV12" s="608"/>
      <c r="AW12" s="608"/>
      <c r="AX12" s="609"/>
      <c r="AY12" s="599"/>
      <c r="AZ12" s="790"/>
      <c r="BA12" s="601">
        <v>1.4</v>
      </c>
      <c r="BB12" s="589">
        <v>23</v>
      </c>
      <c r="BC12" s="589">
        <v>25</v>
      </c>
      <c r="BD12" s="589">
        <v>30</v>
      </c>
      <c r="BE12" s="589">
        <v>36</v>
      </c>
      <c r="BF12" s="589">
        <v>41</v>
      </c>
      <c r="BG12" s="589">
        <v>45</v>
      </c>
      <c r="BH12" s="589">
        <v>48</v>
      </c>
      <c r="BI12" s="589">
        <v>51</v>
      </c>
      <c r="BJ12" s="589">
        <v>55</v>
      </c>
      <c r="BK12" s="589">
        <v>57</v>
      </c>
      <c r="BL12" s="589">
        <v>60</v>
      </c>
      <c r="BM12" s="589">
        <v>62</v>
      </c>
      <c r="BN12" s="589">
        <v>63</v>
      </c>
      <c r="BO12" s="589">
        <v>64</v>
      </c>
      <c r="BP12" s="589">
        <v>66</v>
      </c>
      <c r="BQ12" s="589">
        <v>67</v>
      </c>
      <c r="BR12" s="589">
        <v>67</v>
      </c>
      <c r="BS12" s="589">
        <v>68</v>
      </c>
      <c r="BT12" s="790"/>
      <c r="BU12" s="601">
        <v>1.4</v>
      </c>
      <c r="BV12" s="589">
        <v>97</v>
      </c>
      <c r="BW12" s="589">
        <v>94</v>
      </c>
      <c r="BX12" s="589">
        <v>90</v>
      </c>
      <c r="BY12" s="589">
        <v>85</v>
      </c>
      <c r="BZ12" s="589">
        <v>79</v>
      </c>
      <c r="CA12" s="589">
        <v>74</v>
      </c>
      <c r="CB12" s="589">
        <v>69</v>
      </c>
      <c r="CC12" s="589">
        <v>64</v>
      </c>
      <c r="CD12" s="589">
        <v>61</v>
      </c>
      <c r="CE12" s="589">
        <v>57</v>
      </c>
      <c r="CF12" s="589">
        <v>54</v>
      </c>
      <c r="CG12" s="605">
        <v>51</v>
      </c>
      <c r="CH12" s="605">
        <v>47</v>
      </c>
      <c r="CI12" s="605">
        <v>46</v>
      </c>
      <c r="CJ12" s="605">
        <v>43</v>
      </c>
      <c r="CK12" s="605">
        <v>42</v>
      </c>
      <c r="CL12" s="605">
        <v>39</v>
      </c>
      <c r="CM12" s="704">
        <v>40</v>
      </c>
      <c r="CN12" s="605">
        <v>36.428571428571402</v>
      </c>
      <c r="CO12" s="605">
        <v>34.535714285714299</v>
      </c>
      <c r="CP12" s="605">
        <v>32.642857142857103</v>
      </c>
      <c r="CQ12" s="605">
        <v>30.75</v>
      </c>
      <c r="CR12" s="605">
        <v>28.857142857142801</v>
      </c>
      <c r="CS12" s="605">
        <v>26.964285714285701</v>
      </c>
      <c r="CT12" s="623">
        <f t="shared" si="1"/>
        <v>7</v>
      </c>
      <c r="CU12" s="597" t="str">
        <f>IF(Daten!B14="x",VLOOKUP(Daten!$DG$3,Daten!$B14:$D$40,3,0),"")</f>
        <v>SI18.0</v>
      </c>
      <c r="CV12" s="589" t="str">
        <f t="shared" si="7"/>
        <v/>
      </c>
      <c r="CW12" s="592"/>
      <c r="CX12" s="592">
        <v>1.4</v>
      </c>
      <c r="CY12" s="592" t="s">
        <v>315</v>
      </c>
      <c r="DC12" s="623">
        <f t="shared" si="2"/>
        <v>1</v>
      </c>
      <c r="DF12" s="625">
        <f>IF('Auslegung Stromspeicher'!$C$12=DD12,"x",0)</f>
        <v>0</v>
      </c>
      <c r="DH12" s="592" t="str">
        <f t="shared" si="3"/>
        <v/>
      </c>
      <c r="DK12" s="592">
        <v>10</v>
      </c>
      <c r="DL12" s="592">
        <f t="shared" si="4"/>
        <v>1</v>
      </c>
      <c r="DM12" s="626" t="str">
        <f t="shared" si="5"/>
        <v/>
      </c>
      <c r="DN12" s="623">
        <f t="shared" si="6"/>
        <v>0</v>
      </c>
      <c r="DO12" s="592" t="str">
        <f t="shared" si="8"/>
        <v/>
      </c>
    </row>
    <row r="13" spans="1:119">
      <c r="A13" s="589" t="str">
        <f>Daten!$DE$3</f>
        <v>x</v>
      </c>
      <c r="B13" s="589" t="str">
        <f>IF(AND(A13="x",Daten!$DF$3="x"),"x",0)</f>
        <v>x</v>
      </c>
      <c r="C13" s="589" t="s">
        <v>314</v>
      </c>
      <c r="D13" s="589" t="s">
        <v>370</v>
      </c>
      <c r="G13" s="601">
        <v>9.9</v>
      </c>
      <c r="H13" s="589">
        <v>5.5</v>
      </c>
      <c r="I13" s="601">
        <v>3.3</v>
      </c>
      <c r="J13" s="601">
        <v>5.5</v>
      </c>
      <c r="K13" s="601" t="s">
        <v>478</v>
      </c>
      <c r="L13" s="601" t="s">
        <v>476</v>
      </c>
      <c r="M13" s="601">
        <f t="shared" ref="M13:N15" si="9">M8*3</f>
        <v>7.3500000000000005</v>
      </c>
      <c r="N13" s="601">
        <f t="shared" si="9"/>
        <v>7.3500000000000005</v>
      </c>
      <c r="O13" s="601"/>
      <c r="P13" s="601"/>
      <c r="Q13" s="589">
        <v>3</v>
      </c>
      <c r="R13" s="589" t="s">
        <v>360</v>
      </c>
      <c r="S13" s="589" t="s">
        <v>299</v>
      </c>
      <c r="T13" s="597" t="str">
        <f t="shared" si="0"/>
        <v>10 kWh - Akasol neeoSystem Typ 2</v>
      </c>
      <c r="U13" s="589" t="s">
        <v>364</v>
      </c>
      <c r="V13" s="589" t="s">
        <v>369</v>
      </c>
      <c r="W13" s="589" t="s">
        <v>352</v>
      </c>
      <c r="X13" s="589">
        <v>11</v>
      </c>
      <c r="Y13" s="589">
        <v>10</v>
      </c>
      <c r="Z13" s="589">
        <v>10</v>
      </c>
      <c r="AA13" s="589">
        <v>10</v>
      </c>
      <c r="AB13" s="598"/>
      <c r="AC13" s="598"/>
      <c r="AD13" s="598"/>
      <c r="AE13" s="598"/>
      <c r="AF13" s="589">
        <v>1</v>
      </c>
      <c r="AG13" s="600" t="s">
        <v>356</v>
      </c>
      <c r="AH13" s="589" t="s">
        <v>299</v>
      </c>
      <c r="AI13" s="589" t="s">
        <v>365</v>
      </c>
      <c r="AJ13" s="611"/>
      <c r="AK13" s="611"/>
      <c r="AL13" s="611"/>
      <c r="AM13" s="612"/>
      <c r="AO13" s="608" t="s">
        <v>299</v>
      </c>
      <c r="AP13" s="608"/>
      <c r="AQ13" s="608"/>
      <c r="AR13" s="608"/>
      <c r="AS13" s="608"/>
      <c r="AT13" s="608"/>
      <c r="AU13" s="608"/>
      <c r="AV13" s="608"/>
      <c r="AW13" s="608"/>
      <c r="AX13" s="609"/>
      <c r="AZ13" s="790"/>
      <c r="BA13" s="601">
        <v>1.3</v>
      </c>
      <c r="BB13" s="589">
        <v>23</v>
      </c>
      <c r="BC13" s="589">
        <v>25</v>
      </c>
      <c r="BD13" s="589">
        <v>29</v>
      </c>
      <c r="BE13" s="589">
        <v>36</v>
      </c>
      <c r="BF13" s="589">
        <v>41</v>
      </c>
      <c r="BG13" s="589">
        <v>45</v>
      </c>
      <c r="BH13" s="589">
        <v>47</v>
      </c>
      <c r="BI13" s="589">
        <v>51</v>
      </c>
      <c r="BJ13" s="589">
        <v>54</v>
      </c>
      <c r="BK13" s="589">
        <v>56</v>
      </c>
      <c r="BL13" s="589">
        <v>59</v>
      </c>
      <c r="BM13" s="589">
        <v>61</v>
      </c>
      <c r="BN13" s="589">
        <v>62</v>
      </c>
      <c r="BO13" s="589">
        <v>63</v>
      </c>
      <c r="BP13" s="589">
        <v>65</v>
      </c>
      <c r="BQ13" s="589">
        <v>66</v>
      </c>
      <c r="BR13" s="589">
        <v>66</v>
      </c>
      <c r="BS13" s="589">
        <v>67</v>
      </c>
      <c r="BT13" s="790"/>
      <c r="BU13" s="601">
        <v>1.3</v>
      </c>
      <c r="BV13" s="589">
        <v>96</v>
      </c>
      <c r="BW13" s="589">
        <v>93</v>
      </c>
      <c r="BX13" s="589">
        <v>90</v>
      </c>
      <c r="BY13" s="589">
        <v>84</v>
      </c>
      <c r="BZ13" s="589">
        <v>78</v>
      </c>
      <c r="CA13" s="589">
        <v>73</v>
      </c>
      <c r="CB13" s="589">
        <v>67</v>
      </c>
      <c r="CC13" s="589">
        <v>63</v>
      </c>
      <c r="CD13" s="589">
        <v>60</v>
      </c>
      <c r="CE13" s="589">
        <v>56</v>
      </c>
      <c r="CF13" s="589">
        <v>53</v>
      </c>
      <c r="CG13" s="605">
        <v>50</v>
      </c>
      <c r="CH13" s="605">
        <v>47</v>
      </c>
      <c r="CI13" s="605">
        <v>45</v>
      </c>
      <c r="CJ13" s="605">
        <v>43</v>
      </c>
      <c r="CK13" s="605">
        <v>41</v>
      </c>
      <c r="CL13" s="605">
        <v>38</v>
      </c>
      <c r="CM13" s="704">
        <v>39</v>
      </c>
      <c r="CN13" s="605">
        <v>35.428571428571402</v>
      </c>
      <c r="CO13" s="605">
        <v>33.464285714285701</v>
      </c>
      <c r="CP13" s="605">
        <v>31.5</v>
      </c>
      <c r="CQ13" s="605">
        <v>29.535714285714299</v>
      </c>
      <c r="CR13" s="605">
        <v>27.571428571428498</v>
      </c>
      <c r="CS13" s="605">
        <v>25.607142857142801</v>
      </c>
      <c r="CT13" s="623">
        <f t="shared" si="1"/>
        <v>8</v>
      </c>
      <c r="CU13" s="597" t="str">
        <f>IF(Daten!B15="x",VLOOKUP(Daten!$DG$3,Daten!$B15:$D$40,3,0),"")</f>
        <v>SI24.0</v>
      </c>
      <c r="CV13" s="589" t="str">
        <f t="shared" si="7"/>
        <v/>
      </c>
      <c r="CW13" s="592"/>
      <c r="CX13" s="592">
        <v>1.45</v>
      </c>
      <c r="CY13" s="592" t="s">
        <v>315</v>
      </c>
      <c r="DK13" s="592">
        <v>11</v>
      </c>
      <c r="DL13" s="592">
        <f t="shared" si="4"/>
        <v>1</v>
      </c>
      <c r="DM13" s="626" t="str">
        <f t="shared" si="5"/>
        <v/>
      </c>
      <c r="DN13" s="623">
        <f t="shared" si="6"/>
        <v>0</v>
      </c>
      <c r="DO13" s="592" t="str">
        <f t="shared" si="8"/>
        <v/>
      </c>
    </row>
    <row r="14" spans="1:119">
      <c r="A14" s="589" t="str">
        <f>Daten!$DE$3</f>
        <v>x</v>
      </c>
      <c r="B14" s="589" t="str">
        <f>IF(AND(A14="x",Daten!$DF$3="x"),"x",0)</f>
        <v>x</v>
      </c>
      <c r="C14" s="589" t="s">
        <v>314</v>
      </c>
      <c r="D14" s="589" t="s">
        <v>372</v>
      </c>
      <c r="G14" s="601">
        <v>13.8</v>
      </c>
      <c r="H14" s="589">
        <v>11</v>
      </c>
      <c r="I14" s="601">
        <v>6</v>
      </c>
      <c r="J14" s="601">
        <v>11</v>
      </c>
      <c r="K14" s="601" t="s">
        <v>480</v>
      </c>
      <c r="L14" s="601" t="s">
        <v>479</v>
      </c>
      <c r="M14" s="601">
        <f t="shared" si="9"/>
        <v>10.8</v>
      </c>
      <c r="N14" s="601">
        <f t="shared" si="9"/>
        <v>10.8</v>
      </c>
      <c r="O14" s="601"/>
      <c r="P14" s="601"/>
      <c r="Q14" s="589">
        <v>3</v>
      </c>
      <c r="R14" s="589" t="s">
        <v>360</v>
      </c>
      <c r="T14" s="597" t="str">
        <f t="shared" si="0"/>
        <v>15 kWh - Akasol neeoSystem Typ 3</v>
      </c>
      <c r="U14" s="589" t="s">
        <v>364</v>
      </c>
      <c r="V14" s="589" t="s">
        <v>371</v>
      </c>
      <c r="W14" s="589" t="s">
        <v>352</v>
      </c>
      <c r="X14" s="589">
        <v>16.5</v>
      </c>
      <c r="Y14" s="589">
        <v>15</v>
      </c>
      <c r="Z14" s="589">
        <v>16.5</v>
      </c>
      <c r="AA14" s="589">
        <v>16.5</v>
      </c>
      <c r="AB14" s="598"/>
      <c r="AC14" s="598"/>
      <c r="AD14" s="598"/>
      <c r="AE14" s="598"/>
      <c r="AF14" s="589">
        <v>0</v>
      </c>
      <c r="AG14" s="600" t="s">
        <v>356</v>
      </c>
      <c r="AH14" s="589" t="s">
        <v>299</v>
      </c>
      <c r="AI14" s="589" t="s">
        <v>365</v>
      </c>
      <c r="AJ14" s="611"/>
      <c r="AK14" s="611"/>
      <c r="AL14" s="611"/>
      <c r="AM14" s="612"/>
      <c r="AO14" s="608" t="s">
        <v>299</v>
      </c>
      <c r="AP14" s="608"/>
      <c r="AQ14" s="608"/>
      <c r="AR14" s="608"/>
      <c r="AS14" s="608"/>
      <c r="AT14" s="608"/>
      <c r="AU14" s="608"/>
      <c r="AV14" s="608"/>
      <c r="AW14" s="608"/>
      <c r="AX14" s="609"/>
      <c r="AZ14" s="790"/>
      <c r="BA14" s="601">
        <v>1.2</v>
      </c>
      <c r="BB14" s="589">
        <v>23</v>
      </c>
      <c r="BC14" s="589">
        <v>25</v>
      </c>
      <c r="BD14" s="589">
        <v>28</v>
      </c>
      <c r="BE14" s="589">
        <v>35</v>
      </c>
      <c r="BF14" s="589">
        <v>40</v>
      </c>
      <c r="BG14" s="589">
        <v>44</v>
      </c>
      <c r="BH14" s="589">
        <v>47</v>
      </c>
      <c r="BI14" s="589">
        <v>50</v>
      </c>
      <c r="BJ14" s="589">
        <v>53</v>
      </c>
      <c r="BK14" s="589">
        <v>55</v>
      </c>
      <c r="BL14" s="589">
        <v>57</v>
      </c>
      <c r="BM14" s="589">
        <v>60</v>
      </c>
      <c r="BN14" s="589">
        <v>61</v>
      </c>
      <c r="BO14" s="589">
        <v>62</v>
      </c>
      <c r="BP14" s="589">
        <v>63</v>
      </c>
      <c r="BQ14" s="589">
        <v>65</v>
      </c>
      <c r="BR14" s="589">
        <v>66</v>
      </c>
      <c r="BS14" s="589">
        <v>66</v>
      </c>
      <c r="BT14" s="790"/>
      <c r="BU14" s="601">
        <v>1.2</v>
      </c>
      <c r="BV14" s="589">
        <v>96</v>
      </c>
      <c r="BW14" s="589">
        <v>92</v>
      </c>
      <c r="BX14" s="589">
        <v>89</v>
      </c>
      <c r="BY14" s="589">
        <v>82</v>
      </c>
      <c r="BZ14" s="589">
        <v>77</v>
      </c>
      <c r="CA14" s="589">
        <v>72</v>
      </c>
      <c r="CB14" s="589">
        <v>66</v>
      </c>
      <c r="CC14" s="589">
        <v>62</v>
      </c>
      <c r="CD14" s="589">
        <v>58</v>
      </c>
      <c r="CE14" s="589">
        <v>55</v>
      </c>
      <c r="CF14" s="589">
        <v>52</v>
      </c>
      <c r="CG14" s="605">
        <v>48</v>
      </c>
      <c r="CH14" s="605">
        <v>46</v>
      </c>
      <c r="CI14" s="605">
        <v>44</v>
      </c>
      <c r="CJ14" s="605">
        <v>42</v>
      </c>
      <c r="CK14" s="605">
        <v>40</v>
      </c>
      <c r="CL14" s="605">
        <v>37</v>
      </c>
      <c r="CM14" s="704">
        <v>38</v>
      </c>
      <c r="CN14" s="605">
        <v>34.714285714285701</v>
      </c>
      <c r="CO14" s="605">
        <v>32.857142857142797</v>
      </c>
      <c r="CP14" s="605">
        <v>31</v>
      </c>
      <c r="CQ14" s="605">
        <v>29.1428571428571</v>
      </c>
      <c r="CR14" s="605">
        <v>27.285714285714299</v>
      </c>
      <c r="CS14" s="605">
        <v>25.428571428571399</v>
      </c>
      <c r="CT14" s="623">
        <f t="shared" si="1"/>
        <v>8</v>
      </c>
      <c r="CU14" s="597" t="str">
        <f>IF(Daten!B16="x",VLOOKUP(Daten!$DG$3,Daten!$B16:$D$40,3,0),"")</f>
        <v/>
      </c>
      <c r="CV14" s="589" t="str">
        <f t="shared" si="7"/>
        <v/>
      </c>
      <c r="CW14" s="592"/>
      <c r="CX14" s="592">
        <v>1.5</v>
      </c>
      <c r="CY14" s="592" t="s">
        <v>319</v>
      </c>
      <c r="DK14" s="592">
        <v>12</v>
      </c>
      <c r="DL14" s="592">
        <f t="shared" si="4"/>
        <v>1</v>
      </c>
      <c r="DM14" s="626" t="str">
        <f t="shared" si="5"/>
        <v/>
      </c>
      <c r="DN14" s="623">
        <f t="shared" si="6"/>
        <v>0</v>
      </c>
      <c r="DO14" s="592" t="str">
        <f t="shared" si="8"/>
        <v/>
      </c>
    </row>
    <row r="15" spans="1:119">
      <c r="A15" s="589" t="str">
        <f>Daten!$DE$3</f>
        <v>x</v>
      </c>
      <c r="B15" s="589" t="str">
        <f>IF(AND(A15="x",Daten!$DF$3="x"),"x",0)</f>
        <v>x</v>
      </c>
      <c r="C15" s="589" t="s">
        <v>314</v>
      </c>
      <c r="D15" s="589" t="s">
        <v>374</v>
      </c>
      <c r="G15" s="601">
        <v>18</v>
      </c>
      <c r="H15" s="589">
        <v>11</v>
      </c>
      <c r="I15" s="601">
        <v>6</v>
      </c>
      <c r="J15" s="601">
        <v>11</v>
      </c>
      <c r="K15" s="601" t="s">
        <v>480</v>
      </c>
      <c r="L15" s="601" t="s">
        <v>479</v>
      </c>
      <c r="M15" s="601">
        <f t="shared" si="9"/>
        <v>15.84</v>
      </c>
      <c r="N15" s="601">
        <f t="shared" si="9"/>
        <v>15.84</v>
      </c>
      <c r="O15" s="601"/>
      <c r="P15" s="601"/>
      <c r="Q15" s="589">
        <v>3</v>
      </c>
      <c r="R15" s="589" t="s">
        <v>360</v>
      </c>
      <c r="S15" s="589" t="s">
        <v>299</v>
      </c>
      <c r="T15" s="597" t="str">
        <f t="shared" si="0"/>
        <v>20 kWh - Akasol neeoSystem Typ 4</v>
      </c>
      <c r="U15" s="589" t="s">
        <v>364</v>
      </c>
      <c r="V15" s="589" t="s">
        <v>373</v>
      </c>
      <c r="W15" s="589" t="s">
        <v>352</v>
      </c>
      <c r="X15" s="589">
        <v>22</v>
      </c>
      <c r="Y15" s="589">
        <v>20</v>
      </c>
      <c r="Z15" s="589">
        <v>22</v>
      </c>
      <c r="AA15" s="589">
        <v>22</v>
      </c>
      <c r="AB15" s="598"/>
      <c r="AC15" s="598"/>
      <c r="AD15" s="598"/>
      <c r="AE15" s="598"/>
      <c r="AF15" s="589">
        <v>1</v>
      </c>
      <c r="AG15" s="600" t="s">
        <v>356</v>
      </c>
      <c r="AH15" s="600" t="s">
        <v>299</v>
      </c>
      <c r="AI15" s="589" t="s">
        <v>365</v>
      </c>
      <c r="AJ15" s="611"/>
      <c r="AK15" s="611"/>
      <c r="AL15" s="611"/>
      <c r="AM15" s="612"/>
      <c r="AO15" s="608" t="s">
        <v>299</v>
      </c>
      <c r="AP15" s="608"/>
      <c r="AQ15" s="608"/>
      <c r="AR15" s="608"/>
      <c r="AS15" s="608"/>
      <c r="AT15" s="608"/>
      <c r="AU15" s="608"/>
      <c r="AV15" s="608"/>
      <c r="AW15" s="608"/>
      <c r="AX15" s="609"/>
      <c r="AZ15" s="790"/>
      <c r="BA15" s="601">
        <v>1.1000000000000001</v>
      </c>
      <c r="BB15" s="589">
        <v>23</v>
      </c>
      <c r="BC15" s="589">
        <v>25</v>
      </c>
      <c r="BD15" s="589">
        <v>28</v>
      </c>
      <c r="BE15" s="589">
        <v>35</v>
      </c>
      <c r="BF15" s="589">
        <v>40</v>
      </c>
      <c r="BG15" s="589">
        <v>43</v>
      </c>
      <c r="BH15" s="589">
        <v>46</v>
      </c>
      <c r="BI15" s="589">
        <v>50</v>
      </c>
      <c r="BJ15" s="589">
        <v>52</v>
      </c>
      <c r="BK15" s="589">
        <v>55</v>
      </c>
      <c r="BL15" s="589">
        <v>56</v>
      </c>
      <c r="BM15" s="589">
        <v>57</v>
      </c>
      <c r="BN15" s="589">
        <v>60</v>
      </c>
      <c r="BO15" s="589">
        <v>61</v>
      </c>
      <c r="BP15" s="589">
        <v>62</v>
      </c>
      <c r="BQ15" s="589">
        <v>63</v>
      </c>
      <c r="BR15" s="589">
        <v>64</v>
      </c>
      <c r="BS15" s="589">
        <v>65</v>
      </c>
      <c r="BT15" s="790"/>
      <c r="BU15" s="601">
        <v>1.1000000000000001</v>
      </c>
      <c r="BV15" s="589">
        <v>95</v>
      </c>
      <c r="BW15" s="589">
        <v>92</v>
      </c>
      <c r="BX15" s="589">
        <v>88</v>
      </c>
      <c r="BY15" s="589">
        <v>81</v>
      </c>
      <c r="BZ15" s="589">
        <v>75</v>
      </c>
      <c r="CA15" s="589">
        <v>70</v>
      </c>
      <c r="CB15" s="589">
        <v>65</v>
      </c>
      <c r="CC15" s="589">
        <v>60</v>
      </c>
      <c r="CD15" s="589">
        <v>56</v>
      </c>
      <c r="CE15" s="589">
        <v>53</v>
      </c>
      <c r="CF15" s="589">
        <v>51</v>
      </c>
      <c r="CG15" s="605">
        <v>47</v>
      </c>
      <c r="CH15" s="605">
        <v>45</v>
      </c>
      <c r="CI15" s="605">
        <v>43</v>
      </c>
      <c r="CJ15" s="605">
        <v>41</v>
      </c>
      <c r="CK15" s="605">
        <v>38</v>
      </c>
      <c r="CL15" s="605">
        <v>36</v>
      </c>
      <c r="CM15" s="704">
        <v>37</v>
      </c>
      <c r="CN15" s="605">
        <v>33.428571428571402</v>
      </c>
      <c r="CO15" s="605">
        <v>31.535714285714299</v>
      </c>
      <c r="CP15" s="605">
        <v>29.6428571428571</v>
      </c>
      <c r="CQ15" s="605">
        <v>27.75</v>
      </c>
      <c r="CR15" s="605">
        <v>25.857142857142801</v>
      </c>
      <c r="CS15" s="605">
        <v>23.964285714285701</v>
      </c>
      <c r="CT15" s="623">
        <f t="shared" si="1"/>
        <v>8</v>
      </c>
      <c r="CU15" s="597" t="str">
        <f>IF(Daten!B17="x",VLOOKUP(Daten!$DG$3,Daten!$B17:$D$40,3,0),"")</f>
        <v/>
      </c>
      <c r="CV15" s="589" t="str">
        <f t="shared" si="7"/>
        <v/>
      </c>
      <c r="CW15" s="592"/>
      <c r="CX15" s="592">
        <v>1.55</v>
      </c>
      <c r="CY15" s="592" t="s">
        <v>321</v>
      </c>
      <c r="DK15" s="592">
        <v>13</v>
      </c>
      <c r="DL15" s="592">
        <f t="shared" si="4"/>
        <v>1</v>
      </c>
      <c r="DM15" s="626" t="str">
        <f t="shared" si="5"/>
        <v/>
      </c>
      <c r="DN15" s="623">
        <f t="shared" si="6"/>
        <v>0</v>
      </c>
      <c r="DO15" s="592" t="str">
        <f t="shared" si="8"/>
        <v/>
      </c>
    </row>
    <row r="16" spans="1:119">
      <c r="A16" s="589">
        <f>Daten!$DE$6</f>
        <v>0</v>
      </c>
      <c r="B16" s="589">
        <f>IF(Daten!$DF$6="x","x",0)</f>
        <v>0</v>
      </c>
      <c r="C16" s="589" t="s">
        <v>344</v>
      </c>
      <c r="D16" s="589" t="s">
        <v>376</v>
      </c>
      <c r="G16" s="601">
        <v>3</v>
      </c>
      <c r="I16" s="601"/>
      <c r="J16" s="601"/>
      <c r="K16" s="601"/>
      <c r="L16" s="601"/>
      <c r="M16" s="601"/>
      <c r="N16" s="601"/>
      <c r="O16" s="601"/>
      <c r="P16" s="601"/>
      <c r="Q16" s="589">
        <v>1</v>
      </c>
      <c r="R16" s="589" t="s">
        <v>377</v>
      </c>
      <c r="T16" s="597" t="str">
        <f t="shared" si="0"/>
        <v>25 kWh - Akasol neeoSystem Typ 5</v>
      </c>
      <c r="U16" s="589" t="s">
        <v>364</v>
      </c>
      <c r="V16" s="589" t="s">
        <v>375</v>
      </c>
      <c r="W16" s="589" t="s">
        <v>352</v>
      </c>
      <c r="X16" s="589">
        <v>27.5</v>
      </c>
      <c r="Y16" s="589">
        <v>25</v>
      </c>
      <c r="Z16" s="589">
        <v>27.5</v>
      </c>
      <c r="AA16" s="589">
        <v>27.5</v>
      </c>
      <c r="AB16" s="598"/>
      <c r="AC16" s="598"/>
      <c r="AD16" s="598"/>
      <c r="AE16" s="598"/>
      <c r="AF16" s="589">
        <v>0</v>
      </c>
      <c r="AG16" s="600" t="s">
        <v>356</v>
      </c>
      <c r="AH16" s="600" t="s">
        <v>299</v>
      </c>
      <c r="AI16" s="589" t="s">
        <v>365</v>
      </c>
      <c r="AJ16" s="611"/>
      <c r="AK16" s="611"/>
      <c r="AL16" s="611"/>
      <c r="AM16" s="612"/>
      <c r="AO16" s="608" t="s">
        <v>299</v>
      </c>
      <c r="AP16" s="608"/>
      <c r="AQ16" s="608"/>
      <c r="AR16" s="608"/>
      <c r="AS16" s="608"/>
      <c r="AT16" s="608"/>
      <c r="AU16" s="608"/>
      <c r="AV16" s="608"/>
      <c r="AW16" s="608"/>
      <c r="AX16" s="609"/>
      <c r="AZ16" s="790"/>
      <c r="BA16" s="601">
        <v>1</v>
      </c>
      <c r="BB16" s="589">
        <v>23</v>
      </c>
      <c r="BC16" s="589">
        <v>25</v>
      </c>
      <c r="BD16" s="589">
        <v>27</v>
      </c>
      <c r="BE16" s="589">
        <v>35</v>
      </c>
      <c r="BF16" s="589">
        <v>38</v>
      </c>
      <c r="BG16" s="589">
        <v>43</v>
      </c>
      <c r="BH16" s="589">
        <v>46</v>
      </c>
      <c r="BI16" s="589">
        <v>48</v>
      </c>
      <c r="BJ16" s="589">
        <v>51</v>
      </c>
      <c r="BK16" s="589">
        <v>53</v>
      </c>
      <c r="BL16" s="589">
        <v>55</v>
      </c>
      <c r="BM16" s="589">
        <v>56</v>
      </c>
      <c r="BN16" s="589">
        <v>57</v>
      </c>
      <c r="BO16" s="589">
        <v>60</v>
      </c>
      <c r="BP16" s="589">
        <v>60</v>
      </c>
      <c r="BQ16" s="589">
        <v>62</v>
      </c>
      <c r="BR16" s="589">
        <v>62</v>
      </c>
      <c r="BS16" s="589">
        <v>63</v>
      </c>
      <c r="BT16" s="790"/>
      <c r="BU16" s="601">
        <v>1</v>
      </c>
      <c r="BV16" s="589">
        <v>95</v>
      </c>
      <c r="BW16" s="589">
        <v>91</v>
      </c>
      <c r="BX16" s="589">
        <v>87</v>
      </c>
      <c r="BY16" s="589">
        <v>80</v>
      </c>
      <c r="BZ16" s="589">
        <v>73</v>
      </c>
      <c r="CA16" s="589">
        <v>67</v>
      </c>
      <c r="CB16" s="589">
        <v>63</v>
      </c>
      <c r="CC16" s="589">
        <v>58</v>
      </c>
      <c r="CD16" s="589">
        <v>55</v>
      </c>
      <c r="CE16" s="589">
        <v>51</v>
      </c>
      <c r="CF16" s="589">
        <v>48</v>
      </c>
      <c r="CG16" s="605">
        <v>46</v>
      </c>
      <c r="CH16" s="605">
        <v>43</v>
      </c>
      <c r="CI16" s="605">
        <v>42</v>
      </c>
      <c r="CJ16" s="605">
        <v>39</v>
      </c>
      <c r="CK16" s="605">
        <v>37</v>
      </c>
      <c r="CL16" s="605">
        <v>36</v>
      </c>
      <c r="CM16" s="704">
        <v>37</v>
      </c>
      <c r="CN16" s="605">
        <v>33.428571428571402</v>
      </c>
      <c r="CO16" s="605">
        <v>31.785714285714299</v>
      </c>
      <c r="CP16" s="605">
        <v>30.1428571428571</v>
      </c>
      <c r="CQ16" s="605">
        <v>28.5</v>
      </c>
      <c r="CR16" s="605">
        <v>26.857142857142801</v>
      </c>
      <c r="CS16" s="605">
        <v>25.214285714285701</v>
      </c>
      <c r="CT16" s="623">
        <f t="shared" si="1"/>
        <v>8</v>
      </c>
      <c r="CU16" s="597" t="str">
        <f>IF(Daten!B18="x",VLOOKUP(Daten!$DG$3,Daten!$B18:$D$40,3,0),"")</f>
        <v/>
      </c>
      <c r="CV16" s="589" t="str">
        <f t="shared" si="7"/>
        <v/>
      </c>
      <c r="CW16" s="592"/>
      <c r="CX16" s="592">
        <v>1.6</v>
      </c>
      <c r="CY16" s="592" t="s">
        <v>321</v>
      </c>
      <c r="DK16" s="592">
        <v>14</v>
      </c>
      <c r="DL16" s="592">
        <f t="shared" si="4"/>
        <v>1</v>
      </c>
      <c r="DM16" s="626" t="str">
        <f t="shared" si="5"/>
        <v/>
      </c>
      <c r="DN16" s="623">
        <f t="shared" si="6"/>
        <v>0</v>
      </c>
      <c r="DO16" s="592" t="str">
        <f t="shared" si="8"/>
        <v/>
      </c>
    </row>
    <row r="17" spans="1:119">
      <c r="A17" s="589">
        <f>Daten!$DE$6</f>
        <v>0</v>
      </c>
      <c r="B17" s="589">
        <f>IF(Daten!$DF$6="x","x",0)</f>
        <v>0</v>
      </c>
      <c r="C17" s="589" t="s">
        <v>344</v>
      </c>
      <c r="D17" s="589" t="s">
        <v>381</v>
      </c>
      <c r="G17" s="601">
        <v>3.7</v>
      </c>
      <c r="I17" s="601"/>
      <c r="J17" s="601"/>
      <c r="K17" s="601"/>
      <c r="L17" s="601"/>
      <c r="M17" s="601"/>
      <c r="N17" s="601"/>
      <c r="O17" s="601"/>
      <c r="P17" s="601"/>
      <c r="Q17" s="589">
        <v>1</v>
      </c>
      <c r="R17" s="589" t="s">
        <v>377</v>
      </c>
      <c r="S17" s="589" t="s">
        <v>299</v>
      </c>
      <c r="T17" s="597" t="str">
        <f t="shared" si="0"/>
        <v>2 kWh - Aquion Aspan 48S</v>
      </c>
      <c r="U17" s="589" t="s">
        <v>378</v>
      </c>
      <c r="V17" s="589" t="s">
        <v>379</v>
      </c>
      <c r="W17" s="589" t="s">
        <v>380</v>
      </c>
      <c r="X17" s="589">
        <v>2.6</v>
      </c>
      <c r="Y17" s="589">
        <v>2</v>
      </c>
      <c r="Z17" s="589">
        <v>0.68</v>
      </c>
      <c r="AA17" s="589">
        <v>0.68</v>
      </c>
      <c r="AB17" s="598">
        <v>0.73</v>
      </c>
      <c r="AC17" s="598">
        <v>0.73</v>
      </c>
      <c r="AD17" s="598"/>
      <c r="AE17" s="598"/>
      <c r="AF17" s="589">
        <v>23</v>
      </c>
      <c r="AG17" s="600" t="s">
        <v>356</v>
      </c>
      <c r="AH17" s="600" t="s">
        <v>299</v>
      </c>
      <c r="AI17" s="589" t="s">
        <v>29</v>
      </c>
      <c r="AJ17" s="611" t="s">
        <v>513</v>
      </c>
      <c r="AK17" s="611"/>
      <c r="AL17" s="611"/>
      <c r="AM17" s="612"/>
      <c r="AO17" s="608" t="s">
        <v>299</v>
      </c>
      <c r="AP17" s="608"/>
      <c r="AQ17" s="608"/>
      <c r="AR17" s="608"/>
      <c r="AS17" s="608"/>
      <c r="AT17" s="608" t="s">
        <v>299</v>
      </c>
      <c r="AU17" s="608"/>
      <c r="AV17" s="608"/>
      <c r="AW17" s="608"/>
      <c r="AX17" s="608"/>
      <c r="AY17" s="599"/>
      <c r="AZ17" s="790"/>
      <c r="BA17" s="601">
        <v>0.9</v>
      </c>
      <c r="BB17" s="589">
        <v>22</v>
      </c>
      <c r="BC17" s="589">
        <v>25</v>
      </c>
      <c r="BD17" s="589">
        <v>27</v>
      </c>
      <c r="BE17" s="589">
        <v>34</v>
      </c>
      <c r="BF17" s="589">
        <v>37</v>
      </c>
      <c r="BG17" s="589">
        <v>42</v>
      </c>
      <c r="BH17" s="589">
        <v>45</v>
      </c>
      <c r="BI17" s="589">
        <v>47</v>
      </c>
      <c r="BJ17" s="589">
        <v>50</v>
      </c>
      <c r="BK17" s="589">
        <v>52</v>
      </c>
      <c r="BL17" s="589">
        <v>53</v>
      </c>
      <c r="BM17" s="589">
        <v>55</v>
      </c>
      <c r="BN17" s="589">
        <v>56</v>
      </c>
      <c r="BO17" s="589">
        <v>57</v>
      </c>
      <c r="BP17" s="589">
        <v>57</v>
      </c>
      <c r="BQ17" s="589">
        <v>59</v>
      </c>
      <c r="BR17" s="589">
        <v>60</v>
      </c>
      <c r="BS17" s="589">
        <v>62</v>
      </c>
      <c r="BT17" s="790"/>
      <c r="BU17" s="601">
        <v>0.9</v>
      </c>
      <c r="BV17" s="589">
        <v>94</v>
      </c>
      <c r="BW17" s="589">
        <v>90</v>
      </c>
      <c r="BX17" s="589">
        <v>85</v>
      </c>
      <c r="BY17" s="589">
        <v>79</v>
      </c>
      <c r="BZ17" s="589">
        <v>72</v>
      </c>
      <c r="CA17" s="589">
        <v>66</v>
      </c>
      <c r="CB17" s="589">
        <v>61</v>
      </c>
      <c r="CC17" s="589">
        <v>56</v>
      </c>
      <c r="CD17" s="589">
        <v>53</v>
      </c>
      <c r="CE17" s="589">
        <v>50</v>
      </c>
      <c r="CF17" s="589">
        <v>47</v>
      </c>
      <c r="CG17" s="605">
        <v>44</v>
      </c>
      <c r="CH17" s="605">
        <v>42</v>
      </c>
      <c r="CI17" s="605">
        <v>40</v>
      </c>
      <c r="CJ17" s="605">
        <v>37</v>
      </c>
      <c r="CK17" s="605">
        <v>36</v>
      </c>
      <c r="CL17" s="605">
        <v>34</v>
      </c>
      <c r="CM17" s="704">
        <v>35</v>
      </c>
      <c r="CN17" s="605">
        <v>31.571428571428601</v>
      </c>
      <c r="CO17" s="605">
        <v>29.892857142857199</v>
      </c>
      <c r="CP17" s="605">
        <v>28.214285714285701</v>
      </c>
      <c r="CQ17" s="605">
        <v>26.535714285714299</v>
      </c>
      <c r="CR17" s="605">
        <v>24.8571428571429</v>
      </c>
      <c r="CS17" s="605">
        <v>23.178571428571502</v>
      </c>
      <c r="CT17" s="623">
        <f t="shared" si="1"/>
        <v>8</v>
      </c>
      <c r="CU17" s="597" t="str">
        <f>IF(Daten!B19="x",VLOOKUP(Daten!$DG$3,Daten!$B19:$D$40,3,0),"")</f>
        <v/>
      </c>
      <c r="CV17" s="589" t="str">
        <f t="shared" si="7"/>
        <v/>
      </c>
      <c r="CW17" s="592"/>
      <c r="DK17" s="592">
        <v>15</v>
      </c>
      <c r="DL17" s="592">
        <f t="shared" si="4"/>
        <v>1</v>
      </c>
      <c r="DM17" s="626" t="str">
        <f t="shared" si="5"/>
        <v/>
      </c>
      <c r="DN17" s="623">
        <f t="shared" si="6"/>
        <v>0</v>
      </c>
      <c r="DO17" s="592" t="str">
        <f t="shared" si="8"/>
        <v/>
      </c>
    </row>
    <row r="18" spans="1:119">
      <c r="A18" s="589">
        <f>Daten!$DE$6</f>
        <v>0</v>
      </c>
      <c r="B18" s="589">
        <f>IF(Daten!$DF$6="x","x",0)</f>
        <v>0</v>
      </c>
      <c r="C18" s="589" t="s">
        <v>344</v>
      </c>
      <c r="D18" s="589" t="s">
        <v>382</v>
      </c>
      <c r="G18" s="601">
        <v>4.5999999999999996</v>
      </c>
      <c r="I18" s="601"/>
      <c r="J18" s="601"/>
      <c r="K18" s="601"/>
      <c r="L18" s="601"/>
      <c r="M18" s="601"/>
      <c r="N18" s="601"/>
      <c r="O18" s="601"/>
      <c r="P18" s="601"/>
      <c r="Q18" s="589">
        <v>1</v>
      </c>
      <c r="R18" s="589" t="s">
        <v>377</v>
      </c>
      <c r="T18" s="597" t="str">
        <f t="shared" si="0"/>
        <v>6 kWh - Aquion STOREit 48-6.0</v>
      </c>
      <c r="U18" s="589" t="s">
        <v>378</v>
      </c>
      <c r="V18" s="589" t="s">
        <v>509</v>
      </c>
      <c r="W18" s="589" t="s">
        <v>380</v>
      </c>
      <c r="X18" s="589">
        <v>7.8</v>
      </c>
      <c r="Y18" s="589">
        <v>6</v>
      </c>
      <c r="Z18" s="589">
        <v>2.04</v>
      </c>
      <c r="AA18" s="589">
        <v>2.04</v>
      </c>
      <c r="AB18" s="589">
        <v>2.19</v>
      </c>
      <c r="AC18" s="589">
        <v>2.19</v>
      </c>
      <c r="AD18" s="598"/>
      <c r="AE18" s="598"/>
      <c r="AF18" s="589">
        <v>21</v>
      </c>
      <c r="AG18" s="600" t="s">
        <v>356</v>
      </c>
      <c r="AH18" s="589" t="s">
        <v>299</v>
      </c>
      <c r="AI18" s="589" t="s">
        <v>29</v>
      </c>
      <c r="AJ18" s="611" t="s">
        <v>515</v>
      </c>
      <c r="AK18" s="611"/>
      <c r="AL18" s="611"/>
      <c r="AM18" s="612"/>
      <c r="AO18" s="608" t="s">
        <v>299</v>
      </c>
      <c r="AP18" s="608"/>
      <c r="AQ18" s="608"/>
      <c r="AR18" s="608"/>
      <c r="AS18" s="608"/>
      <c r="AT18" s="608" t="s">
        <v>299</v>
      </c>
      <c r="AU18" s="608"/>
      <c r="AV18" s="608"/>
      <c r="AW18" s="608"/>
      <c r="AX18" s="609"/>
      <c r="AY18" s="599"/>
      <c r="AZ18" s="790"/>
      <c r="BA18" s="601">
        <v>0.8</v>
      </c>
      <c r="BB18" s="589">
        <v>22</v>
      </c>
      <c r="BC18" s="589">
        <v>25</v>
      </c>
      <c r="BD18" s="589">
        <v>27</v>
      </c>
      <c r="BE18" s="589">
        <v>34</v>
      </c>
      <c r="BF18" s="589">
        <v>37</v>
      </c>
      <c r="BG18" s="589">
        <v>41</v>
      </c>
      <c r="BH18" s="589">
        <v>43</v>
      </c>
      <c r="BI18" s="589">
        <v>46</v>
      </c>
      <c r="BJ18" s="589">
        <v>48</v>
      </c>
      <c r="BK18" s="589">
        <v>50</v>
      </c>
      <c r="BL18" s="589">
        <v>52</v>
      </c>
      <c r="BM18" s="589">
        <v>53</v>
      </c>
      <c r="BN18" s="589">
        <v>54</v>
      </c>
      <c r="BO18" s="589">
        <v>55</v>
      </c>
      <c r="BP18" s="589">
        <v>56</v>
      </c>
      <c r="BQ18" s="589">
        <v>57</v>
      </c>
      <c r="BR18" s="589">
        <v>57</v>
      </c>
      <c r="BS18" s="589">
        <v>59</v>
      </c>
      <c r="BT18" s="790"/>
      <c r="BU18" s="601">
        <v>0.8</v>
      </c>
      <c r="BV18" s="589">
        <v>93</v>
      </c>
      <c r="BW18" s="589">
        <v>89</v>
      </c>
      <c r="BX18" s="589">
        <v>83</v>
      </c>
      <c r="BY18" s="589">
        <v>76</v>
      </c>
      <c r="BZ18" s="589">
        <v>70</v>
      </c>
      <c r="CA18" s="589">
        <v>64</v>
      </c>
      <c r="CB18" s="589">
        <v>59</v>
      </c>
      <c r="CC18" s="589">
        <v>55</v>
      </c>
      <c r="CD18" s="589">
        <v>51</v>
      </c>
      <c r="CE18" s="589">
        <v>47</v>
      </c>
      <c r="CF18" s="589">
        <v>45</v>
      </c>
      <c r="CG18" s="605">
        <v>43</v>
      </c>
      <c r="CH18" s="605">
        <v>40</v>
      </c>
      <c r="CI18" s="605">
        <v>37</v>
      </c>
      <c r="CJ18" s="605">
        <v>36</v>
      </c>
      <c r="CK18" s="605">
        <v>35</v>
      </c>
      <c r="CL18" s="605">
        <v>33</v>
      </c>
      <c r="CM18" s="704">
        <v>34</v>
      </c>
      <c r="CN18" s="605">
        <v>30.714285714285701</v>
      </c>
      <c r="CO18" s="605">
        <v>29.178571428571399</v>
      </c>
      <c r="CP18" s="605">
        <v>27.6428571428571</v>
      </c>
      <c r="CQ18" s="605">
        <v>26.107142857142801</v>
      </c>
      <c r="CR18" s="605">
        <v>24.571428571428601</v>
      </c>
      <c r="CS18" s="605">
        <v>23.035714285714299</v>
      </c>
      <c r="CT18" s="623">
        <f t="shared" si="1"/>
        <v>8</v>
      </c>
      <c r="CU18" s="597" t="str">
        <f>IF(Daten!B20="x",VLOOKUP(Daten!$DG$3,Daten!$B20:$D$40,3,0),"")</f>
        <v/>
      </c>
      <c r="CV18" s="589" t="str">
        <f t="shared" si="7"/>
        <v/>
      </c>
      <c r="CW18" s="592"/>
      <c r="DK18" s="592">
        <v>16</v>
      </c>
      <c r="DL18" s="592">
        <f t="shared" si="4"/>
        <v>1</v>
      </c>
      <c r="DM18" s="626" t="str">
        <f t="shared" si="5"/>
        <v/>
      </c>
      <c r="DN18" s="623">
        <f t="shared" si="6"/>
        <v>0</v>
      </c>
      <c r="DO18" s="592" t="str">
        <f t="shared" si="8"/>
        <v/>
      </c>
    </row>
    <row r="19" spans="1:119">
      <c r="A19" s="589">
        <f>Daten!$DE$8</f>
        <v>0</v>
      </c>
      <c r="B19" s="589">
        <f>IF(Daten!$DF$8="x","x",0)</f>
        <v>0</v>
      </c>
      <c r="C19" s="589" t="s">
        <v>346</v>
      </c>
      <c r="D19" s="589" t="s">
        <v>383</v>
      </c>
      <c r="E19" s="589" t="s">
        <v>502</v>
      </c>
      <c r="F19" s="589">
        <v>3.3</v>
      </c>
      <c r="G19" s="601">
        <v>2.99</v>
      </c>
      <c r="H19" s="589">
        <f>0.23*14.4</f>
        <v>3.3120000000000003</v>
      </c>
      <c r="I19" s="601">
        <v>3</v>
      </c>
      <c r="J19" s="601">
        <f>I19*1.5</f>
        <v>4.5</v>
      </c>
      <c r="K19" s="601" t="s">
        <v>506</v>
      </c>
      <c r="L19" s="601" t="s">
        <v>462</v>
      </c>
      <c r="M19" s="601">
        <v>2.5</v>
      </c>
      <c r="N19" s="601">
        <v>2.5</v>
      </c>
      <c r="O19" s="601"/>
      <c r="P19" s="601"/>
      <c r="Q19" s="589">
        <v>1</v>
      </c>
      <c r="R19" s="589" t="s">
        <v>377</v>
      </c>
      <c r="T19" s="597" t="str">
        <f t="shared" si="0"/>
        <v>8 kWh - Aquion STOREit 48-8.0</v>
      </c>
      <c r="U19" s="589" t="s">
        <v>378</v>
      </c>
      <c r="V19" s="589" t="s">
        <v>510</v>
      </c>
      <c r="W19" s="589" t="s">
        <v>380</v>
      </c>
      <c r="X19" s="589">
        <v>10.4</v>
      </c>
      <c r="Y19" s="589">
        <v>8</v>
      </c>
      <c r="Z19" s="589">
        <v>2.72</v>
      </c>
      <c r="AA19" s="589">
        <v>2.72</v>
      </c>
      <c r="AB19" s="598">
        <v>2.92</v>
      </c>
      <c r="AC19" s="598">
        <v>2.92</v>
      </c>
      <c r="AD19" s="598"/>
      <c r="AE19" s="598"/>
      <c r="AF19" s="589">
        <v>20</v>
      </c>
      <c r="AG19" s="600" t="s">
        <v>356</v>
      </c>
      <c r="AH19" s="589" t="s">
        <v>299</v>
      </c>
      <c r="AI19" s="589" t="s">
        <v>29</v>
      </c>
      <c r="AJ19" s="611" t="s">
        <v>516</v>
      </c>
      <c r="AK19" s="611"/>
      <c r="AL19" s="611"/>
      <c r="AM19" s="612"/>
      <c r="AO19" s="608" t="s">
        <v>299</v>
      </c>
      <c r="AP19" s="608"/>
      <c r="AQ19" s="608"/>
      <c r="AR19" s="608"/>
      <c r="AS19" s="608"/>
      <c r="AT19" s="608" t="s">
        <v>299</v>
      </c>
      <c r="AU19" s="608"/>
      <c r="AV19" s="608"/>
      <c r="AW19" s="608"/>
      <c r="AX19" s="609"/>
      <c r="AY19" s="599"/>
      <c r="AZ19" s="790"/>
      <c r="BA19" s="601">
        <v>0.7</v>
      </c>
      <c r="BB19" s="589">
        <v>22</v>
      </c>
      <c r="BC19" s="589">
        <v>25</v>
      </c>
      <c r="BD19" s="589">
        <v>26</v>
      </c>
      <c r="BE19" s="589">
        <v>33</v>
      </c>
      <c r="BF19" s="589">
        <v>36</v>
      </c>
      <c r="BG19" s="589">
        <v>40</v>
      </c>
      <c r="BH19" s="589">
        <v>42</v>
      </c>
      <c r="BI19" s="589">
        <v>45</v>
      </c>
      <c r="BJ19" s="589">
        <v>46</v>
      </c>
      <c r="BK19" s="589">
        <v>47</v>
      </c>
      <c r="BL19" s="589">
        <v>50</v>
      </c>
      <c r="BM19" s="589">
        <v>52</v>
      </c>
      <c r="BN19" s="589">
        <v>52</v>
      </c>
      <c r="BO19" s="589">
        <v>53</v>
      </c>
      <c r="BP19" s="589">
        <v>54</v>
      </c>
      <c r="BQ19" s="589">
        <v>55</v>
      </c>
      <c r="BR19" s="589">
        <v>55</v>
      </c>
      <c r="BS19" s="589">
        <v>56</v>
      </c>
      <c r="BT19" s="790"/>
      <c r="BU19" s="601">
        <v>0.7</v>
      </c>
      <c r="BV19" s="589">
        <v>92</v>
      </c>
      <c r="BW19" s="589">
        <v>87</v>
      </c>
      <c r="BX19" s="589">
        <v>81</v>
      </c>
      <c r="BY19" s="589">
        <v>74</v>
      </c>
      <c r="BZ19" s="589">
        <v>67</v>
      </c>
      <c r="CA19" s="589">
        <v>60</v>
      </c>
      <c r="CB19" s="589">
        <v>57</v>
      </c>
      <c r="CC19" s="589">
        <v>53</v>
      </c>
      <c r="CD19" s="589">
        <v>47</v>
      </c>
      <c r="CE19" s="589">
        <v>46</v>
      </c>
      <c r="CF19" s="589">
        <v>43</v>
      </c>
      <c r="CG19" s="605">
        <v>41</v>
      </c>
      <c r="CH19" s="605">
        <v>37</v>
      </c>
      <c r="CI19" s="605">
        <v>36</v>
      </c>
      <c r="CJ19" s="605">
        <v>34</v>
      </c>
      <c r="CK19" s="605">
        <v>33</v>
      </c>
      <c r="CL19" s="605">
        <v>32</v>
      </c>
      <c r="CM19" s="704">
        <v>33</v>
      </c>
      <c r="CN19" s="605">
        <v>29.8571428571429</v>
      </c>
      <c r="CO19" s="605">
        <v>28.535714285714299</v>
      </c>
      <c r="CP19" s="605">
        <v>27.214285714285801</v>
      </c>
      <c r="CQ19" s="605">
        <v>25.892857142857199</v>
      </c>
      <c r="CR19" s="605">
        <v>24.571428571428601</v>
      </c>
      <c r="CS19" s="605">
        <v>23.25</v>
      </c>
      <c r="CT19" s="623">
        <f t="shared" si="1"/>
        <v>8</v>
      </c>
      <c r="CU19" s="597" t="str">
        <f>IF(Daten!B21="x",VLOOKUP(Daten!$DG$3,Daten!$B21:$D$40,3,0),"")</f>
        <v/>
      </c>
      <c r="CV19" s="589" t="str">
        <f t="shared" si="7"/>
        <v/>
      </c>
      <c r="CW19" s="592"/>
      <c r="DK19" s="592">
        <v>17</v>
      </c>
      <c r="DL19" s="592">
        <f t="shared" si="4"/>
        <v>1</v>
      </c>
      <c r="DM19" s="626" t="str">
        <f t="shared" si="5"/>
        <v/>
      </c>
      <c r="DN19" s="623">
        <f t="shared" si="6"/>
        <v>0</v>
      </c>
      <c r="DO19" s="592" t="str">
        <f t="shared" si="8"/>
        <v/>
      </c>
    </row>
    <row r="20" spans="1:119">
      <c r="A20" s="589">
        <f>Daten!$DE$8</f>
        <v>0</v>
      </c>
      <c r="B20" s="589">
        <f>IF(Daten!$DF$8="x","x",0)</f>
        <v>0</v>
      </c>
      <c r="C20" s="589" t="s">
        <v>346</v>
      </c>
      <c r="D20" s="589" t="s">
        <v>384</v>
      </c>
      <c r="E20" s="589" t="s">
        <v>503</v>
      </c>
      <c r="F20" s="589">
        <v>4</v>
      </c>
      <c r="G20" s="601">
        <v>3.68</v>
      </c>
      <c r="H20" s="589">
        <f>0.23*16</f>
        <v>3.68</v>
      </c>
      <c r="I20" s="601">
        <v>3.68</v>
      </c>
      <c r="J20" s="601">
        <f>I20*1.5</f>
        <v>5.5200000000000005</v>
      </c>
      <c r="K20" s="601" t="s">
        <v>506</v>
      </c>
      <c r="L20" s="601" t="s">
        <v>462</v>
      </c>
      <c r="M20" s="601">
        <v>2.5</v>
      </c>
      <c r="N20" s="601">
        <v>2.5</v>
      </c>
      <c r="O20" s="601"/>
      <c r="P20" s="601"/>
      <c r="Q20" s="589">
        <v>1</v>
      </c>
      <c r="R20" s="589" t="s">
        <v>377</v>
      </c>
      <c r="T20" s="597" t="str">
        <f t="shared" si="0"/>
        <v>10 kWh - Aquion STOREit 48-10.0</v>
      </c>
      <c r="U20" s="589" t="s">
        <v>378</v>
      </c>
      <c r="V20" s="589" t="s">
        <v>511</v>
      </c>
      <c r="W20" s="589" t="s">
        <v>380</v>
      </c>
      <c r="X20" s="589">
        <v>13</v>
      </c>
      <c r="Y20" s="589">
        <v>10</v>
      </c>
      <c r="Z20" s="589">
        <v>3.4</v>
      </c>
      <c r="AA20" s="589">
        <v>3.4</v>
      </c>
      <c r="AB20" s="598">
        <v>3.65</v>
      </c>
      <c r="AC20" s="598">
        <v>3.65</v>
      </c>
      <c r="AD20" s="598"/>
      <c r="AE20" s="598"/>
      <c r="AF20" s="589">
        <v>19</v>
      </c>
      <c r="AG20" s="600" t="s">
        <v>356</v>
      </c>
      <c r="AH20" s="600" t="s">
        <v>299</v>
      </c>
      <c r="AI20" s="589" t="s">
        <v>29</v>
      </c>
      <c r="AJ20" s="611" t="s">
        <v>517</v>
      </c>
      <c r="AK20" s="611"/>
      <c r="AL20" s="611"/>
      <c r="AM20" s="612"/>
      <c r="AO20" s="608" t="s">
        <v>299</v>
      </c>
      <c r="AP20" s="608"/>
      <c r="AQ20" s="608"/>
      <c r="AR20" s="608"/>
      <c r="AS20" s="608"/>
      <c r="AT20" s="608" t="s">
        <v>299</v>
      </c>
      <c r="AU20" s="608"/>
      <c r="AV20" s="608"/>
      <c r="AW20" s="608"/>
      <c r="AX20" s="609"/>
      <c r="AZ20" s="790"/>
      <c r="BA20" s="601">
        <v>0.6</v>
      </c>
      <c r="BB20" s="589">
        <v>22</v>
      </c>
      <c r="BC20" s="589">
        <v>25</v>
      </c>
      <c r="BD20" s="589">
        <v>26</v>
      </c>
      <c r="BE20" s="589">
        <v>33</v>
      </c>
      <c r="BF20" s="589">
        <v>36</v>
      </c>
      <c r="BG20" s="589">
        <v>38</v>
      </c>
      <c r="BH20" s="589">
        <v>41</v>
      </c>
      <c r="BI20" s="589">
        <v>43</v>
      </c>
      <c r="BJ20" s="589">
        <v>45</v>
      </c>
      <c r="BK20" s="589">
        <v>46</v>
      </c>
      <c r="BL20" s="589">
        <v>47</v>
      </c>
      <c r="BM20" s="589">
        <v>48</v>
      </c>
      <c r="BN20" s="589">
        <v>50</v>
      </c>
      <c r="BO20" s="589">
        <v>51</v>
      </c>
      <c r="BP20" s="589">
        <v>52</v>
      </c>
      <c r="BQ20" s="589">
        <v>52</v>
      </c>
      <c r="BR20" s="589">
        <v>53</v>
      </c>
      <c r="BS20" s="589">
        <v>53</v>
      </c>
      <c r="BT20" s="790"/>
      <c r="BU20" s="601">
        <v>0.6</v>
      </c>
      <c r="BV20" s="589">
        <v>91</v>
      </c>
      <c r="BW20" s="589">
        <v>85</v>
      </c>
      <c r="BX20" s="589">
        <v>78</v>
      </c>
      <c r="BY20" s="589">
        <v>70</v>
      </c>
      <c r="BZ20" s="589">
        <v>64</v>
      </c>
      <c r="CA20" s="589">
        <v>58</v>
      </c>
      <c r="CB20" s="589">
        <v>53</v>
      </c>
      <c r="CC20" s="589">
        <v>50</v>
      </c>
      <c r="CD20" s="589">
        <v>46</v>
      </c>
      <c r="CE20" s="589">
        <v>43</v>
      </c>
      <c r="CF20" s="589">
        <v>41</v>
      </c>
      <c r="CG20" s="605">
        <v>37</v>
      </c>
      <c r="CH20" s="605">
        <v>36</v>
      </c>
      <c r="CI20" s="605">
        <v>35</v>
      </c>
      <c r="CJ20" s="605">
        <v>33</v>
      </c>
      <c r="CK20" s="605">
        <v>32</v>
      </c>
      <c r="CL20" s="605">
        <v>30</v>
      </c>
      <c r="CM20" s="704">
        <v>31</v>
      </c>
      <c r="CN20" s="605">
        <v>28.714285714285701</v>
      </c>
      <c r="CO20" s="605">
        <v>27.535714285714299</v>
      </c>
      <c r="CP20" s="605">
        <v>26.357142857142801</v>
      </c>
      <c r="CQ20" s="605">
        <v>25.178571428571399</v>
      </c>
      <c r="CR20" s="605">
        <v>24</v>
      </c>
      <c r="CS20" s="605">
        <v>22.821428571428601</v>
      </c>
      <c r="CT20" s="623">
        <f t="shared" si="1"/>
        <v>8</v>
      </c>
      <c r="CU20" s="597" t="str">
        <f>IF(Daten!B22="x",VLOOKUP(Daten!$DG$3,Daten!$B22:$D$40,3,0),"")</f>
        <v/>
      </c>
      <c r="CV20" s="589" t="str">
        <f t="shared" si="7"/>
        <v/>
      </c>
      <c r="CW20" s="592"/>
      <c r="DK20" s="592">
        <v>18</v>
      </c>
      <c r="DL20" s="592">
        <f t="shared" si="4"/>
        <v>1</v>
      </c>
      <c r="DM20" s="626" t="str">
        <f t="shared" si="5"/>
        <v/>
      </c>
      <c r="DN20" s="623">
        <f t="shared" si="6"/>
        <v>0</v>
      </c>
      <c r="DO20" s="592" t="str">
        <f t="shared" si="8"/>
        <v/>
      </c>
    </row>
    <row r="21" spans="1:119">
      <c r="A21" s="589">
        <f>Daten!$DE$8</f>
        <v>0</v>
      </c>
      <c r="B21" s="589">
        <f>IF(Daten!$DF$8="x","x",0)</f>
        <v>0</v>
      </c>
      <c r="C21" s="589" t="s">
        <v>346</v>
      </c>
      <c r="D21" s="589" t="s">
        <v>385</v>
      </c>
      <c r="E21" s="589" t="s">
        <v>503</v>
      </c>
      <c r="F21" s="589">
        <v>5</v>
      </c>
      <c r="G21" s="601">
        <v>4.5999999999999996</v>
      </c>
      <c r="H21" s="589">
        <f>0.23*22.1</f>
        <v>5.0830000000000002</v>
      </c>
      <c r="I21" s="601">
        <v>4</v>
      </c>
      <c r="J21" s="601">
        <f>I21*1.5</f>
        <v>6</v>
      </c>
      <c r="K21" s="601" t="s">
        <v>506</v>
      </c>
      <c r="L21" s="601" t="s">
        <v>462</v>
      </c>
      <c r="M21" s="601">
        <v>2.5</v>
      </c>
      <c r="N21" s="601">
        <v>2.5</v>
      </c>
      <c r="O21" s="601"/>
      <c r="P21" s="601"/>
      <c r="Q21" s="589">
        <v>1</v>
      </c>
      <c r="R21" s="589" t="s">
        <v>377</v>
      </c>
      <c r="T21" s="597" t="str">
        <f t="shared" si="0"/>
        <v>12 kWh - Aquion STOREit 48-12.0</v>
      </c>
      <c r="U21" s="589" t="s">
        <v>378</v>
      </c>
      <c r="V21" s="589" t="s">
        <v>512</v>
      </c>
      <c r="W21" s="589" t="s">
        <v>380</v>
      </c>
      <c r="X21" s="589">
        <v>15.6</v>
      </c>
      <c r="Y21" s="589">
        <v>12</v>
      </c>
      <c r="Z21" s="589">
        <v>4.08</v>
      </c>
      <c r="AA21" s="589">
        <v>4.08</v>
      </c>
      <c r="AB21" s="598">
        <v>4.38</v>
      </c>
      <c r="AC21" s="598">
        <v>4.38</v>
      </c>
      <c r="AD21" s="598"/>
      <c r="AE21" s="598"/>
      <c r="AF21" s="589">
        <v>18</v>
      </c>
      <c r="AG21" s="600" t="s">
        <v>356</v>
      </c>
      <c r="AH21" s="600" t="s">
        <v>299</v>
      </c>
      <c r="AI21" s="589" t="s">
        <v>29</v>
      </c>
      <c r="AJ21" s="611" t="s">
        <v>518</v>
      </c>
      <c r="AK21" s="611"/>
      <c r="AL21" s="611"/>
      <c r="AM21" s="612"/>
      <c r="AO21" s="608" t="s">
        <v>299</v>
      </c>
      <c r="AP21" s="608"/>
      <c r="AQ21" s="608"/>
      <c r="AR21" s="608"/>
      <c r="AS21" s="608"/>
      <c r="AT21" s="608" t="s">
        <v>299</v>
      </c>
      <c r="AU21" s="608"/>
      <c r="AV21" s="608"/>
      <c r="AW21" s="608"/>
      <c r="AX21" s="609"/>
      <c r="AZ21" s="790"/>
      <c r="BA21" s="601">
        <v>0.5</v>
      </c>
      <c r="BB21" s="589">
        <v>21</v>
      </c>
      <c r="BC21" s="589">
        <v>24</v>
      </c>
      <c r="BD21" s="589">
        <v>26</v>
      </c>
      <c r="BE21" s="589">
        <v>32</v>
      </c>
      <c r="BF21" s="589">
        <v>35</v>
      </c>
      <c r="BG21" s="589">
        <v>37</v>
      </c>
      <c r="BH21" s="589">
        <v>39</v>
      </c>
      <c r="BI21" s="589">
        <v>41</v>
      </c>
      <c r="BJ21" s="589">
        <v>42</v>
      </c>
      <c r="BK21" s="589">
        <v>44</v>
      </c>
      <c r="BL21" s="589">
        <v>45</v>
      </c>
      <c r="BM21" s="589">
        <v>46</v>
      </c>
      <c r="BN21" s="589">
        <v>47</v>
      </c>
      <c r="BO21" s="589">
        <v>48</v>
      </c>
      <c r="BP21" s="589">
        <v>48</v>
      </c>
      <c r="BQ21" s="589">
        <v>49</v>
      </c>
      <c r="BR21" s="589">
        <v>50</v>
      </c>
      <c r="BS21" s="589">
        <v>50</v>
      </c>
      <c r="BT21" s="790"/>
      <c r="BU21" s="601">
        <v>0.5</v>
      </c>
      <c r="BV21" s="589">
        <v>88</v>
      </c>
      <c r="BW21" s="589">
        <v>81</v>
      </c>
      <c r="BX21" s="589">
        <v>75</v>
      </c>
      <c r="BY21" s="589">
        <v>67</v>
      </c>
      <c r="BZ21" s="589">
        <v>60</v>
      </c>
      <c r="CA21" s="589">
        <v>55</v>
      </c>
      <c r="CB21" s="589">
        <v>50</v>
      </c>
      <c r="CC21" s="589">
        <v>47</v>
      </c>
      <c r="CD21" s="589">
        <v>44</v>
      </c>
      <c r="CE21" s="589">
        <v>41</v>
      </c>
      <c r="CF21" s="589">
        <v>38</v>
      </c>
      <c r="CG21" s="605">
        <v>36</v>
      </c>
      <c r="CH21" s="605">
        <v>34</v>
      </c>
      <c r="CI21" s="605">
        <v>33</v>
      </c>
      <c r="CJ21" s="605">
        <v>32</v>
      </c>
      <c r="CK21" s="605">
        <v>30</v>
      </c>
      <c r="CL21" s="605">
        <v>27</v>
      </c>
      <c r="CM21" s="704">
        <v>29</v>
      </c>
      <c r="CN21" s="605">
        <v>26.1428571428571</v>
      </c>
      <c r="CO21" s="605">
        <v>24.785714285714199</v>
      </c>
      <c r="CP21" s="605">
        <v>23.428571428571399</v>
      </c>
      <c r="CQ21" s="605">
        <v>22.071428571428498</v>
      </c>
      <c r="CR21" s="605">
        <v>20.714285714285701</v>
      </c>
      <c r="CS21" s="605">
        <v>19.357142857142801</v>
      </c>
      <c r="CT21" s="623">
        <f t="shared" si="1"/>
        <v>8</v>
      </c>
      <c r="CU21" s="597" t="str">
        <f>IF(Daten!B23="x",VLOOKUP(Daten!$DG$3,Daten!$B23:$D$40,3,0),"")</f>
        <v/>
      </c>
      <c r="CV21" s="589" t="str">
        <f t="shared" si="7"/>
        <v/>
      </c>
      <c r="CW21" s="592"/>
      <c r="DK21" s="592">
        <v>19</v>
      </c>
      <c r="DL21" s="592">
        <f t="shared" si="4"/>
        <v>1</v>
      </c>
      <c r="DM21" s="626" t="str">
        <f t="shared" si="5"/>
        <v/>
      </c>
      <c r="DN21" s="623">
        <f t="shared" si="6"/>
        <v>0</v>
      </c>
      <c r="DO21" s="592" t="str">
        <f t="shared" si="8"/>
        <v/>
      </c>
    </row>
    <row r="22" spans="1:119" ht="15.75" customHeight="1">
      <c r="A22" s="589">
        <f>Daten!$DE$5</f>
        <v>0</v>
      </c>
      <c r="B22" s="589">
        <f>IF(Daten!$DF$5="x","x",0)</f>
        <v>0</v>
      </c>
      <c r="C22" s="589" t="s">
        <v>343</v>
      </c>
      <c r="D22" s="589" t="s">
        <v>387</v>
      </c>
      <c r="E22" s="589" t="s">
        <v>502</v>
      </c>
      <c r="F22" s="589">
        <v>5</v>
      </c>
      <c r="G22" s="601">
        <v>3</v>
      </c>
      <c r="H22" s="589">
        <v>3</v>
      </c>
      <c r="I22" s="601">
        <v>3</v>
      </c>
      <c r="J22" s="601">
        <v>3</v>
      </c>
      <c r="K22" s="601" t="s">
        <v>481</v>
      </c>
      <c r="L22" s="601"/>
      <c r="M22" s="601">
        <v>3</v>
      </c>
      <c r="N22" s="601">
        <v>3</v>
      </c>
      <c r="O22" s="601"/>
      <c r="P22" s="601"/>
      <c r="Q22" s="589">
        <v>3</v>
      </c>
      <c r="R22" s="589" t="s">
        <v>360</v>
      </c>
      <c r="S22" s="589" t="s">
        <v>299</v>
      </c>
      <c r="T22" s="597" t="str">
        <f t="shared" si="0"/>
        <v>24 kWh - Aquion Aspan 48M</v>
      </c>
      <c r="U22" s="589" t="s">
        <v>378</v>
      </c>
      <c r="V22" s="589" t="s">
        <v>386</v>
      </c>
      <c r="W22" s="589" t="s">
        <v>380</v>
      </c>
      <c r="X22" s="589">
        <v>30.6</v>
      </c>
      <c r="Y22" s="589">
        <v>24</v>
      </c>
      <c r="Z22" s="589">
        <v>8.1</v>
      </c>
      <c r="AA22" s="589">
        <v>8.1</v>
      </c>
      <c r="AB22" s="598">
        <v>9.6</v>
      </c>
      <c r="AC22" s="598">
        <v>9.6</v>
      </c>
      <c r="AD22" s="598"/>
      <c r="AE22" s="598"/>
      <c r="AF22" s="589">
        <v>16</v>
      </c>
      <c r="AG22" s="600" t="s">
        <v>356</v>
      </c>
      <c r="AH22" s="589" t="s">
        <v>299</v>
      </c>
      <c r="AI22" s="589" t="s">
        <v>29</v>
      </c>
      <c r="AJ22" s="611" t="s">
        <v>514</v>
      </c>
      <c r="AK22" s="611"/>
      <c r="AL22" s="611"/>
      <c r="AM22" s="612"/>
      <c r="AO22" s="608" t="s">
        <v>299</v>
      </c>
      <c r="AP22" s="608"/>
      <c r="AQ22" s="608"/>
      <c r="AR22" s="608"/>
      <c r="AS22" s="608"/>
      <c r="AT22" s="608" t="s">
        <v>299</v>
      </c>
      <c r="AU22" s="608"/>
      <c r="AV22" s="608"/>
      <c r="AW22" s="608"/>
      <c r="AX22" s="609"/>
      <c r="AZ22" s="790"/>
      <c r="BA22" s="601">
        <v>0.4</v>
      </c>
      <c r="BB22" s="589">
        <v>20</v>
      </c>
      <c r="BC22" s="589">
        <v>23</v>
      </c>
      <c r="BD22" s="589">
        <v>25</v>
      </c>
      <c r="BE22" s="589">
        <v>30</v>
      </c>
      <c r="BF22" s="589">
        <v>33</v>
      </c>
      <c r="BG22" s="589">
        <v>35</v>
      </c>
      <c r="BH22" s="589">
        <v>37</v>
      </c>
      <c r="BI22" s="589">
        <v>37</v>
      </c>
      <c r="BJ22" s="589">
        <v>40</v>
      </c>
      <c r="BK22" s="589">
        <v>42</v>
      </c>
      <c r="BL22" s="589">
        <v>42</v>
      </c>
      <c r="BM22" s="589">
        <v>44</v>
      </c>
      <c r="BN22" s="589">
        <v>44</v>
      </c>
      <c r="BO22" s="589">
        <v>45</v>
      </c>
      <c r="BP22" s="589">
        <v>46</v>
      </c>
      <c r="BQ22" s="589">
        <v>47</v>
      </c>
      <c r="BR22" s="589">
        <v>47</v>
      </c>
      <c r="BS22" s="589">
        <v>47</v>
      </c>
      <c r="BT22" s="790"/>
      <c r="BU22" s="601">
        <v>0.4</v>
      </c>
      <c r="BV22" s="589">
        <v>86</v>
      </c>
      <c r="BW22" s="589">
        <v>80</v>
      </c>
      <c r="BX22" s="589">
        <v>72</v>
      </c>
      <c r="BY22" s="589">
        <v>63</v>
      </c>
      <c r="BZ22" s="589">
        <v>57</v>
      </c>
      <c r="CA22" s="589">
        <v>51</v>
      </c>
      <c r="CB22" s="589">
        <v>47</v>
      </c>
      <c r="CC22" s="589">
        <v>44</v>
      </c>
      <c r="CD22" s="589">
        <v>42</v>
      </c>
      <c r="CE22" s="589">
        <v>38</v>
      </c>
      <c r="CF22" s="589">
        <v>36</v>
      </c>
      <c r="CG22" s="605">
        <v>34</v>
      </c>
      <c r="CH22" s="605">
        <v>33</v>
      </c>
      <c r="CI22" s="605">
        <v>30</v>
      </c>
      <c r="CJ22" s="605">
        <v>28</v>
      </c>
      <c r="CK22" s="605">
        <v>27</v>
      </c>
      <c r="CL22" s="605">
        <v>26</v>
      </c>
      <c r="CM22" s="704">
        <v>25</v>
      </c>
      <c r="CN22" s="605">
        <v>22.714285714285701</v>
      </c>
      <c r="CO22" s="605">
        <v>21.1428571428571</v>
      </c>
      <c r="CP22" s="605">
        <v>19.571428571428601</v>
      </c>
      <c r="CQ22" s="605">
        <v>18</v>
      </c>
      <c r="CR22" s="605">
        <v>16.428571428571399</v>
      </c>
      <c r="CS22" s="605">
        <v>14.857142857142801</v>
      </c>
      <c r="CT22" s="623">
        <f t="shared" si="1"/>
        <v>8</v>
      </c>
      <c r="CU22" s="597" t="str">
        <f>IF(Daten!B24="x",VLOOKUP(Daten!$DG$3,Daten!$B24:$D$40,3,0),"")</f>
        <v/>
      </c>
      <c r="CV22" s="589" t="str">
        <f t="shared" si="7"/>
        <v/>
      </c>
      <c r="CW22" s="592"/>
      <c r="CX22" s="600"/>
      <c r="CY22" s="600"/>
      <c r="DK22" s="592">
        <v>20</v>
      </c>
      <c r="DL22" s="592">
        <f t="shared" si="4"/>
        <v>1</v>
      </c>
      <c r="DM22" s="626" t="str">
        <f t="shared" si="5"/>
        <v/>
      </c>
      <c r="DN22" s="623">
        <f t="shared" si="6"/>
        <v>0</v>
      </c>
      <c r="DO22" s="592" t="str">
        <f t="shared" si="8"/>
        <v/>
      </c>
    </row>
    <row r="23" spans="1:119">
      <c r="A23" s="589">
        <f>Daten!$DE$5</f>
        <v>0</v>
      </c>
      <c r="B23" s="589">
        <f>IF(Daten!$DF$5="x","x",0)</f>
        <v>0</v>
      </c>
      <c r="C23" s="589" t="s">
        <v>343</v>
      </c>
      <c r="D23" s="589" t="s">
        <v>390</v>
      </c>
      <c r="E23" s="589" t="s">
        <v>502</v>
      </c>
      <c r="F23" s="589">
        <v>6.5</v>
      </c>
      <c r="G23" s="601">
        <v>4</v>
      </c>
      <c r="H23" s="589">
        <v>4</v>
      </c>
      <c r="I23" s="601">
        <v>4</v>
      </c>
      <c r="J23" s="601">
        <v>4</v>
      </c>
      <c r="K23" s="601" t="s">
        <v>481</v>
      </c>
      <c r="L23" s="601"/>
      <c r="M23" s="601">
        <v>4</v>
      </c>
      <c r="N23" s="601">
        <v>4</v>
      </c>
      <c r="O23" s="601"/>
      <c r="P23" s="601"/>
      <c r="Q23" s="589">
        <v>3</v>
      </c>
      <c r="R23" s="589" t="s">
        <v>360</v>
      </c>
      <c r="S23" s="589" t="s">
        <v>299</v>
      </c>
      <c r="T23" s="597" t="str">
        <f t="shared" si="0"/>
        <v>5,4 kWh - BMZ ESS 7.0</v>
      </c>
      <c r="U23" s="589" t="s">
        <v>388</v>
      </c>
      <c r="V23" s="589" t="s">
        <v>528</v>
      </c>
      <c r="W23" s="589" t="s">
        <v>389</v>
      </c>
      <c r="X23" s="589">
        <v>6.8</v>
      </c>
      <c r="Y23" s="601">
        <v>5.4</v>
      </c>
      <c r="Z23" s="589">
        <v>4.5999999999999996</v>
      </c>
      <c r="AA23" s="589">
        <v>4.5999999999999996</v>
      </c>
      <c r="AB23" s="598"/>
      <c r="AC23" s="598">
        <v>14.4</v>
      </c>
      <c r="AD23" s="598"/>
      <c r="AE23" s="598"/>
      <c r="AF23" s="589">
        <v>5</v>
      </c>
      <c r="AG23" s="600" t="s">
        <v>356</v>
      </c>
      <c r="AH23" s="589" t="s">
        <v>299</v>
      </c>
      <c r="AI23" s="589" t="s">
        <v>29</v>
      </c>
      <c r="AJ23" s="611" t="s">
        <v>579</v>
      </c>
      <c r="AK23" s="611"/>
      <c r="AL23" s="611"/>
      <c r="AM23" s="612"/>
      <c r="AO23" s="608" t="s">
        <v>299</v>
      </c>
      <c r="AP23" s="608"/>
      <c r="AQ23" s="608"/>
      <c r="AR23" s="608"/>
      <c r="AS23" s="608"/>
      <c r="AT23" s="608"/>
      <c r="AU23" s="608"/>
      <c r="AV23" s="608"/>
      <c r="AW23" s="608"/>
      <c r="AX23" s="609"/>
      <c r="AY23" s="599"/>
      <c r="BA23" s="601">
        <v>0.3</v>
      </c>
      <c r="BB23" s="589">
        <v>19</v>
      </c>
      <c r="BC23" s="589">
        <v>22</v>
      </c>
      <c r="BD23" s="589">
        <v>23</v>
      </c>
      <c r="BE23" s="589">
        <v>27</v>
      </c>
      <c r="BF23" s="589">
        <v>30</v>
      </c>
      <c r="BG23" s="589">
        <v>32</v>
      </c>
      <c r="BH23" s="589">
        <v>33</v>
      </c>
      <c r="BI23" s="589">
        <v>35</v>
      </c>
      <c r="BJ23" s="589">
        <v>37</v>
      </c>
      <c r="BK23" s="589">
        <v>37</v>
      </c>
      <c r="BL23" s="589">
        <v>39</v>
      </c>
      <c r="BM23" s="589">
        <v>41</v>
      </c>
      <c r="BN23" s="589">
        <v>42</v>
      </c>
      <c r="BO23" s="589">
        <v>42</v>
      </c>
      <c r="BP23" s="589">
        <v>43</v>
      </c>
      <c r="BQ23" s="589">
        <v>43</v>
      </c>
      <c r="BR23" s="589">
        <v>43</v>
      </c>
      <c r="BS23" s="589">
        <v>44</v>
      </c>
      <c r="BU23" s="601">
        <v>0.3</v>
      </c>
      <c r="BV23" s="589">
        <v>80</v>
      </c>
      <c r="BW23" s="589">
        <v>74</v>
      </c>
      <c r="BX23" s="589">
        <v>65</v>
      </c>
      <c r="BY23" s="589">
        <v>56</v>
      </c>
      <c r="BZ23" s="589">
        <v>52</v>
      </c>
      <c r="CA23" s="589">
        <v>46</v>
      </c>
      <c r="CB23" s="589">
        <v>42</v>
      </c>
      <c r="CC23" s="589">
        <v>40</v>
      </c>
      <c r="CD23" s="589">
        <v>37</v>
      </c>
      <c r="CE23" s="589">
        <v>35</v>
      </c>
      <c r="CF23" s="589">
        <v>33</v>
      </c>
      <c r="CG23" s="605">
        <v>32</v>
      </c>
      <c r="CH23" s="605">
        <v>30</v>
      </c>
      <c r="CI23" s="605">
        <v>28</v>
      </c>
      <c r="CJ23" s="605">
        <v>26</v>
      </c>
      <c r="CK23" s="605">
        <v>25</v>
      </c>
      <c r="CL23" s="605">
        <v>24</v>
      </c>
      <c r="CM23" s="704">
        <v>22</v>
      </c>
      <c r="CN23" s="605">
        <v>20.285714285714299</v>
      </c>
      <c r="CO23" s="605">
        <v>18.678571428571399</v>
      </c>
      <c r="CP23" s="605">
        <v>17.071428571428601</v>
      </c>
      <c r="CQ23" s="605">
        <v>15.464285714285699</v>
      </c>
      <c r="CR23" s="605">
        <v>13.8571428571429</v>
      </c>
      <c r="CS23" s="605">
        <v>12.25</v>
      </c>
      <c r="CT23" s="623">
        <f t="shared" si="1"/>
        <v>8</v>
      </c>
      <c r="CU23" s="597" t="str">
        <f>IF(Daten!B25="x",VLOOKUP(Daten!$DG$3,Daten!$B25:$D$40,3,0),"")</f>
        <v/>
      </c>
      <c r="CV23" s="589" t="str">
        <f t="shared" si="7"/>
        <v/>
      </c>
      <c r="CW23" s="592"/>
      <c r="CX23" s="627"/>
      <c r="CY23" s="628"/>
      <c r="DK23" s="592">
        <v>21</v>
      </c>
      <c r="DL23" s="592">
        <f t="shared" si="4"/>
        <v>1</v>
      </c>
      <c r="DM23" s="626" t="str">
        <f t="shared" si="5"/>
        <v/>
      </c>
      <c r="DN23" s="623">
        <f t="shared" si="6"/>
        <v>0</v>
      </c>
      <c r="DO23" s="592" t="str">
        <f t="shared" si="8"/>
        <v/>
      </c>
    </row>
    <row r="24" spans="1:119">
      <c r="A24" s="589">
        <f>Daten!$DE$5</f>
        <v>0</v>
      </c>
      <c r="B24" s="589">
        <f>IF(Daten!$DF$5="x","x",0)</f>
        <v>0</v>
      </c>
      <c r="C24" s="589" t="s">
        <v>343</v>
      </c>
      <c r="D24" s="589" t="s">
        <v>394</v>
      </c>
      <c r="E24" s="589" t="s">
        <v>502</v>
      </c>
      <c r="F24" s="589">
        <v>8</v>
      </c>
      <c r="G24" s="601">
        <v>5</v>
      </c>
      <c r="H24" s="589">
        <v>5</v>
      </c>
      <c r="I24" s="601">
        <v>5</v>
      </c>
      <c r="J24" s="601">
        <v>8</v>
      </c>
      <c r="K24" s="601" t="s">
        <v>481</v>
      </c>
      <c r="L24" s="601"/>
      <c r="M24" s="601">
        <v>5</v>
      </c>
      <c r="N24" s="601">
        <v>5</v>
      </c>
      <c r="O24" s="601"/>
      <c r="P24" s="601"/>
      <c r="Q24" s="589">
        <v>3</v>
      </c>
      <c r="R24" s="589" t="s">
        <v>360</v>
      </c>
      <c r="S24" s="589" t="s">
        <v>299</v>
      </c>
      <c r="T24" s="597" t="str">
        <f t="shared" si="0"/>
        <v>1,2 kWh - Fronius Batterey 1.5 Erweiterung</v>
      </c>
      <c r="U24" s="589" t="s">
        <v>391</v>
      </c>
      <c r="V24" s="589" t="s">
        <v>454</v>
      </c>
      <c r="W24" s="589" t="s">
        <v>393</v>
      </c>
      <c r="X24" s="589">
        <v>1.5</v>
      </c>
      <c r="Y24" s="601">
        <v>1.2</v>
      </c>
      <c r="Z24" s="589">
        <v>0.8</v>
      </c>
      <c r="AA24" s="589">
        <v>0.8</v>
      </c>
      <c r="AB24" s="589">
        <v>0.8</v>
      </c>
      <c r="AC24" s="589">
        <v>0.8</v>
      </c>
      <c r="AD24" s="598" t="s">
        <v>482</v>
      </c>
      <c r="AI24" s="589" t="s">
        <v>29</v>
      </c>
      <c r="AJ24" s="611" t="s">
        <v>483</v>
      </c>
      <c r="AK24" s="611"/>
      <c r="AL24" s="611"/>
      <c r="AM24" s="612"/>
      <c r="AO24" s="608"/>
      <c r="AP24" s="608"/>
      <c r="AQ24" s="608" t="s">
        <v>299</v>
      </c>
      <c r="AR24" s="608"/>
      <c r="AS24" s="608"/>
      <c r="AT24" s="608"/>
      <c r="AU24" s="608"/>
      <c r="AV24" s="608"/>
      <c r="AW24" s="608"/>
      <c r="AX24" s="608"/>
      <c r="AY24" s="599"/>
      <c r="BA24" s="601">
        <v>0.2</v>
      </c>
      <c r="BB24" s="589">
        <v>17</v>
      </c>
      <c r="BC24" s="589">
        <v>21</v>
      </c>
      <c r="BD24" s="589">
        <v>23</v>
      </c>
      <c r="BE24" s="589">
        <v>25</v>
      </c>
      <c r="BF24" s="589">
        <v>27</v>
      </c>
      <c r="BG24" s="589">
        <v>29</v>
      </c>
      <c r="BH24" s="589">
        <v>30</v>
      </c>
      <c r="BI24" s="589">
        <v>32</v>
      </c>
      <c r="BJ24" s="589">
        <v>33</v>
      </c>
      <c r="BK24" s="589">
        <v>35</v>
      </c>
      <c r="BL24" s="589">
        <v>36</v>
      </c>
      <c r="BM24" s="589">
        <v>36</v>
      </c>
      <c r="BN24" s="589">
        <v>37</v>
      </c>
      <c r="BO24" s="589">
        <v>37</v>
      </c>
      <c r="BP24" s="589">
        <v>37</v>
      </c>
      <c r="BQ24" s="589">
        <v>38</v>
      </c>
      <c r="BR24" s="589">
        <v>39</v>
      </c>
      <c r="BS24" s="589">
        <v>40</v>
      </c>
      <c r="BU24" s="601">
        <v>0.2</v>
      </c>
      <c r="BV24" s="589">
        <v>77</v>
      </c>
      <c r="BW24" s="589">
        <v>65</v>
      </c>
      <c r="BX24" s="589">
        <v>55</v>
      </c>
      <c r="BY24" s="589">
        <v>52</v>
      </c>
      <c r="BZ24" s="589">
        <v>45</v>
      </c>
      <c r="CA24" s="589">
        <v>41</v>
      </c>
      <c r="CB24" s="589">
        <v>37</v>
      </c>
      <c r="CC24" s="589">
        <v>36</v>
      </c>
      <c r="CD24" s="589">
        <v>33</v>
      </c>
      <c r="CE24" s="589">
        <v>31</v>
      </c>
      <c r="CF24" s="589">
        <v>30</v>
      </c>
      <c r="CG24" s="605">
        <v>27</v>
      </c>
      <c r="CH24" s="605">
        <v>26</v>
      </c>
      <c r="CI24" s="605">
        <v>25</v>
      </c>
      <c r="CJ24" s="605">
        <v>23</v>
      </c>
      <c r="CK24" s="605">
        <v>23</v>
      </c>
      <c r="CL24" s="605">
        <v>22</v>
      </c>
      <c r="CM24" s="704">
        <v>18</v>
      </c>
      <c r="CN24" s="605">
        <v>18.1428571428571</v>
      </c>
      <c r="CO24" s="605">
        <v>16.821428571428498</v>
      </c>
      <c r="CP24" s="605">
        <v>15.5</v>
      </c>
      <c r="CQ24" s="605">
        <v>14.1785714285714</v>
      </c>
      <c r="CR24" s="605">
        <v>12.857142857142801</v>
      </c>
      <c r="CS24" s="605">
        <v>11.535714285714199</v>
      </c>
      <c r="CT24" s="623">
        <f t="shared" si="1"/>
        <v>8</v>
      </c>
      <c r="CU24" s="597" t="str">
        <f>IF(Daten!B26="x",VLOOKUP(Daten!$DG$3,Daten!$B26:$D$40,3,0),"")</f>
        <v/>
      </c>
      <c r="CV24" s="589" t="str">
        <f t="shared" si="7"/>
        <v/>
      </c>
      <c r="CW24" s="592"/>
      <c r="DK24" s="592">
        <v>22</v>
      </c>
      <c r="DL24" s="592">
        <f t="shared" si="4"/>
        <v>1</v>
      </c>
      <c r="DM24" s="626" t="str">
        <f t="shared" si="5"/>
        <v/>
      </c>
      <c r="DN24" s="623">
        <f t="shared" si="6"/>
        <v>0</v>
      </c>
      <c r="DO24" s="592" t="str">
        <f t="shared" si="8"/>
        <v/>
      </c>
    </row>
    <row r="25" spans="1:119">
      <c r="A25" s="589">
        <f>Daten!$DE$7</f>
        <v>0</v>
      </c>
      <c r="B25" s="589">
        <f>IF(Daten!$DF$7="x","x",0)</f>
        <v>0</v>
      </c>
      <c r="C25" s="589" t="s">
        <v>345</v>
      </c>
      <c r="D25" s="589" t="s">
        <v>559</v>
      </c>
      <c r="F25" s="589">
        <v>3</v>
      </c>
      <c r="G25" s="589">
        <v>2.2000000000000002</v>
      </c>
      <c r="K25" s="589" t="s">
        <v>564</v>
      </c>
      <c r="T25" s="597" t="str">
        <f t="shared" si="0"/>
        <v>3,6 kWh - Fronius Battery 4.5</v>
      </c>
      <c r="U25" s="589" t="s">
        <v>391</v>
      </c>
      <c r="V25" s="589" t="s">
        <v>392</v>
      </c>
      <c r="W25" s="589" t="s">
        <v>393</v>
      </c>
      <c r="X25" s="589">
        <v>4.5</v>
      </c>
      <c r="Y25" s="589">
        <v>3.6</v>
      </c>
      <c r="Z25" s="589">
        <v>2.4</v>
      </c>
      <c r="AA25" s="589">
        <v>2.4</v>
      </c>
      <c r="AB25" s="589">
        <v>2.4</v>
      </c>
      <c r="AC25" s="589">
        <v>2.4</v>
      </c>
      <c r="AD25" s="598" t="s">
        <v>482</v>
      </c>
      <c r="AE25" s="598"/>
      <c r="AF25" s="589">
        <v>5</v>
      </c>
      <c r="AG25" s="600" t="s">
        <v>356</v>
      </c>
      <c r="AH25" s="589" t="s">
        <v>299</v>
      </c>
      <c r="AI25" s="589" t="s">
        <v>29</v>
      </c>
      <c r="AJ25" s="611" t="s">
        <v>484</v>
      </c>
      <c r="AK25" s="611"/>
      <c r="AL25" s="611"/>
      <c r="AM25" s="612"/>
      <c r="AO25" s="608"/>
      <c r="AP25" s="608"/>
      <c r="AQ25" s="608" t="s">
        <v>299</v>
      </c>
      <c r="AR25" s="608"/>
      <c r="AS25" s="608"/>
      <c r="AT25" s="608"/>
      <c r="AU25" s="608"/>
      <c r="AV25" s="608"/>
      <c r="AW25" s="608"/>
      <c r="AX25" s="609"/>
      <c r="AY25" s="599"/>
      <c r="BA25" s="601">
        <v>0.1</v>
      </c>
      <c r="BB25" s="589">
        <v>15</v>
      </c>
      <c r="BC25" s="589">
        <v>20</v>
      </c>
      <c r="BD25" s="589">
        <v>21</v>
      </c>
      <c r="BE25" s="589">
        <v>22</v>
      </c>
      <c r="BF25" s="589">
        <v>23</v>
      </c>
      <c r="BG25" s="589">
        <v>26</v>
      </c>
      <c r="BH25" s="589">
        <v>27</v>
      </c>
      <c r="BI25" s="589">
        <v>27</v>
      </c>
      <c r="BJ25" s="589">
        <v>29</v>
      </c>
      <c r="BK25" s="589">
        <v>30</v>
      </c>
      <c r="BL25" s="589">
        <v>32</v>
      </c>
      <c r="BM25" s="589">
        <v>32</v>
      </c>
      <c r="BN25" s="589">
        <v>33</v>
      </c>
      <c r="BO25" s="589">
        <v>33</v>
      </c>
      <c r="BP25" s="589">
        <v>34</v>
      </c>
      <c r="BQ25" s="589">
        <v>35</v>
      </c>
      <c r="BR25" s="589">
        <v>35</v>
      </c>
      <c r="BS25" s="589">
        <v>36</v>
      </c>
      <c r="BU25" s="601">
        <v>0.1</v>
      </c>
      <c r="BV25" s="589">
        <v>65</v>
      </c>
      <c r="BW25" s="589">
        <v>55</v>
      </c>
      <c r="BX25" s="589">
        <v>45</v>
      </c>
      <c r="BY25" s="589">
        <v>42</v>
      </c>
      <c r="BZ25" s="589">
        <v>38</v>
      </c>
      <c r="CA25" s="589">
        <v>35</v>
      </c>
      <c r="CB25" s="589">
        <v>32</v>
      </c>
      <c r="CC25" s="589">
        <v>30</v>
      </c>
      <c r="CD25" s="589">
        <v>28</v>
      </c>
      <c r="CE25" s="589">
        <v>27</v>
      </c>
      <c r="CF25" s="589">
        <v>26</v>
      </c>
      <c r="CG25" s="605">
        <v>23</v>
      </c>
      <c r="CH25" s="605">
        <v>23</v>
      </c>
      <c r="CI25" s="605">
        <v>22</v>
      </c>
      <c r="CJ25" s="605">
        <v>21</v>
      </c>
      <c r="CK25" s="605">
        <v>20</v>
      </c>
      <c r="CL25" s="605">
        <v>18</v>
      </c>
      <c r="CM25" s="704">
        <v>17</v>
      </c>
      <c r="CN25" s="605">
        <v>16.285714285714299</v>
      </c>
      <c r="CO25" s="605">
        <v>15.214285714285699</v>
      </c>
      <c r="CP25" s="605">
        <v>14.1428571428571</v>
      </c>
      <c r="CQ25" s="605">
        <v>13.0714285714286</v>
      </c>
      <c r="CR25" s="605">
        <v>12</v>
      </c>
      <c r="CS25" s="605">
        <v>10.9285714285714</v>
      </c>
      <c r="CT25" s="623">
        <f t="shared" si="1"/>
        <v>8</v>
      </c>
      <c r="CU25" s="597" t="str">
        <f>IF(Daten!B27="x",VLOOKUP(Daten!$DG$3,Daten!$B27:$D$40,3,0),"")</f>
        <v/>
      </c>
      <c r="CV25" s="589" t="str">
        <f t="shared" si="7"/>
        <v/>
      </c>
      <c r="CW25" s="592"/>
      <c r="DK25" s="592">
        <v>23</v>
      </c>
      <c r="DL25" s="592">
        <f t="shared" si="4"/>
        <v>1</v>
      </c>
      <c r="DM25" s="626" t="str">
        <f t="shared" si="5"/>
        <v/>
      </c>
      <c r="DN25" s="623">
        <f t="shared" si="6"/>
        <v>0</v>
      </c>
      <c r="DO25" s="592" t="str">
        <f t="shared" si="8"/>
        <v/>
      </c>
    </row>
    <row r="26" spans="1:119">
      <c r="A26" s="589">
        <f>Daten!$DE$7</f>
        <v>0</v>
      </c>
      <c r="B26" s="589">
        <f>IF(Daten!$DF$7="x","x",0)</f>
        <v>0</v>
      </c>
      <c r="C26" s="589" t="s">
        <v>345</v>
      </c>
      <c r="D26" s="589" t="s">
        <v>560</v>
      </c>
      <c r="F26" s="589">
        <v>3.75</v>
      </c>
      <c r="G26" s="589">
        <v>3</v>
      </c>
      <c r="K26" s="589" t="s">
        <v>564</v>
      </c>
      <c r="T26" s="597" t="str">
        <f t="shared" si="0"/>
        <v>4,8 kWh - Fronius Battery 6.0</v>
      </c>
      <c r="U26" s="589" t="s">
        <v>391</v>
      </c>
      <c r="V26" s="589" t="s">
        <v>395</v>
      </c>
      <c r="W26" s="589" t="s">
        <v>393</v>
      </c>
      <c r="X26" s="589">
        <v>6</v>
      </c>
      <c r="Y26" s="589">
        <v>4.8000000000000007</v>
      </c>
      <c r="Z26" s="589">
        <v>3.2</v>
      </c>
      <c r="AA26" s="589">
        <v>3.2</v>
      </c>
      <c r="AB26" s="589">
        <v>3.2</v>
      </c>
      <c r="AC26" s="589">
        <v>3.2</v>
      </c>
      <c r="AD26" s="598" t="s">
        <v>482</v>
      </c>
      <c r="AE26" s="598"/>
      <c r="AF26" s="589">
        <v>4</v>
      </c>
      <c r="AG26" s="600" t="s">
        <v>356</v>
      </c>
      <c r="AH26" s="600" t="s">
        <v>299</v>
      </c>
      <c r="AI26" s="589" t="s">
        <v>29</v>
      </c>
      <c r="AJ26" s="611" t="s">
        <v>485</v>
      </c>
      <c r="AK26" s="611"/>
      <c r="AL26" s="611"/>
      <c r="AM26" s="612"/>
      <c r="AO26" s="608"/>
      <c r="AP26" s="608"/>
      <c r="AQ26" s="608" t="s">
        <v>299</v>
      </c>
      <c r="AR26" s="608"/>
      <c r="AS26" s="608"/>
      <c r="AT26" s="608"/>
      <c r="AU26" s="608"/>
      <c r="AV26" s="608"/>
      <c r="AW26" s="608"/>
      <c r="AX26" s="609"/>
      <c r="AY26" s="599"/>
      <c r="BB26" s="600">
        <v>0.2</v>
      </c>
      <c r="BC26" s="601">
        <v>0.3</v>
      </c>
      <c r="BD26" s="601">
        <v>0.4</v>
      </c>
      <c r="BE26" s="601">
        <v>0.5</v>
      </c>
      <c r="BF26" s="601">
        <v>0.6</v>
      </c>
      <c r="BG26" s="601">
        <v>0.7</v>
      </c>
      <c r="BH26" s="601">
        <v>0.8</v>
      </c>
      <c r="BI26" s="601">
        <v>0.9</v>
      </c>
      <c r="BJ26" s="601">
        <v>1</v>
      </c>
      <c r="BK26" s="601">
        <v>1.1000000000000001</v>
      </c>
      <c r="BL26" s="601">
        <v>1.2</v>
      </c>
      <c r="BM26" s="601">
        <v>1.3</v>
      </c>
      <c r="BN26" s="601">
        <v>1.4</v>
      </c>
      <c r="BO26" s="601">
        <v>1.5</v>
      </c>
      <c r="BP26" s="601">
        <v>1.6</v>
      </c>
      <c r="BQ26" s="601">
        <v>1.7</v>
      </c>
      <c r="BR26" s="601">
        <v>1.8</v>
      </c>
      <c r="BS26" s="601">
        <v>1.9</v>
      </c>
      <c r="BV26" s="603">
        <v>0.2</v>
      </c>
      <c r="BW26" s="601">
        <v>0.3</v>
      </c>
      <c r="BX26" s="601">
        <v>0.4</v>
      </c>
      <c r="BY26" s="601">
        <v>0.5</v>
      </c>
      <c r="BZ26" s="601">
        <v>0.6</v>
      </c>
      <c r="CA26" s="601">
        <v>0.7</v>
      </c>
      <c r="CB26" s="601">
        <v>0.8</v>
      </c>
      <c r="CC26" s="601">
        <v>0.9</v>
      </c>
      <c r="CD26" s="601">
        <v>1</v>
      </c>
      <c r="CE26" s="601">
        <v>1.1000000000000001</v>
      </c>
      <c r="CF26" s="601">
        <v>1.2</v>
      </c>
      <c r="CG26" s="601">
        <v>1.3</v>
      </c>
      <c r="CH26" s="601">
        <v>1.4</v>
      </c>
      <c r="CI26" s="601">
        <v>1.5</v>
      </c>
      <c r="CJ26" s="601">
        <v>1.6</v>
      </c>
      <c r="CK26" s="601">
        <v>1.7</v>
      </c>
      <c r="CL26" s="601">
        <v>1.8</v>
      </c>
      <c r="CM26" s="601">
        <v>1.9</v>
      </c>
      <c r="CN26" s="601">
        <v>2</v>
      </c>
      <c r="CO26" s="601">
        <v>2.1</v>
      </c>
      <c r="CP26" s="601">
        <v>2.2000000000000002</v>
      </c>
      <c r="CQ26" s="601">
        <v>2.2999999999999998</v>
      </c>
      <c r="CR26" s="601">
        <v>2.4</v>
      </c>
      <c r="CS26" s="601">
        <v>2.5</v>
      </c>
      <c r="CT26" s="623">
        <f t="shared" si="1"/>
        <v>8</v>
      </c>
      <c r="CU26" s="597" t="str">
        <f>IF(Daten!B28="x",VLOOKUP(Daten!$DG$3,Daten!$B28:$D$40,3,0),"")</f>
        <v/>
      </c>
      <c r="CV26" s="589" t="str">
        <f t="shared" si="7"/>
        <v/>
      </c>
      <c r="CW26" s="592"/>
      <c r="DK26" s="592">
        <v>24</v>
      </c>
      <c r="DL26" s="592">
        <f t="shared" si="4"/>
        <v>1</v>
      </c>
      <c r="DM26" s="626" t="str">
        <f t="shared" si="5"/>
        <v/>
      </c>
      <c r="DN26" s="623">
        <f t="shared" si="6"/>
        <v>0</v>
      </c>
      <c r="DO26" s="592" t="str">
        <f t="shared" si="8"/>
        <v/>
      </c>
    </row>
    <row r="27" spans="1:119">
      <c r="A27" s="589">
        <f>Daten!$DE$7</f>
        <v>0</v>
      </c>
      <c r="B27" s="589">
        <f>IF(Daten!$DF$7="x","x",0)</f>
        <v>0</v>
      </c>
      <c r="C27" s="589" t="s">
        <v>345</v>
      </c>
      <c r="D27" s="589" t="s">
        <v>561</v>
      </c>
      <c r="F27" s="589">
        <v>4.3499999999999996</v>
      </c>
      <c r="G27" s="589">
        <v>3.5</v>
      </c>
      <c r="K27" s="589" t="s">
        <v>564</v>
      </c>
      <c r="T27" s="597" t="str">
        <f t="shared" si="0"/>
        <v>6 kWh - Fronius Battery 7.5</v>
      </c>
      <c r="U27" s="589" t="s">
        <v>391</v>
      </c>
      <c r="V27" s="589" t="s">
        <v>396</v>
      </c>
      <c r="W27" s="589" t="s">
        <v>393</v>
      </c>
      <c r="X27" s="589">
        <v>7.5</v>
      </c>
      <c r="Y27" s="589">
        <v>6</v>
      </c>
      <c r="Z27" s="589">
        <v>4</v>
      </c>
      <c r="AA27" s="589">
        <v>4</v>
      </c>
      <c r="AB27" s="589">
        <v>4</v>
      </c>
      <c r="AC27" s="589">
        <v>4</v>
      </c>
      <c r="AD27" s="598" t="s">
        <v>482</v>
      </c>
      <c r="AE27" s="598"/>
      <c r="AF27" s="589">
        <v>3</v>
      </c>
      <c r="AG27" s="600" t="s">
        <v>356</v>
      </c>
      <c r="AH27" s="589" t="s">
        <v>299</v>
      </c>
      <c r="AI27" s="589" t="s">
        <v>29</v>
      </c>
      <c r="AJ27" s="611" t="s">
        <v>486</v>
      </c>
      <c r="AK27" s="611"/>
      <c r="AL27" s="611"/>
      <c r="AM27" s="612"/>
      <c r="AO27" s="608"/>
      <c r="AP27" s="608"/>
      <c r="AQ27" s="608" t="s">
        <v>299</v>
      </c>
      <c r="AR27" s="608"/>
      <c r="AS27" s="608"/>
      <c r="AT27" s="608"/>
      <c r="AU27" s="608"/>
      <c r="AV27" s="608"/>
      <c r="AW27" s="608"/>
      <c r="AX27" s="609"/>
      <c r="AY27" s="599"/>
      <c r="BD27" s="589" t="s">
        <v>402</v>
      </c>
      <c r="BW27" s="589" t="s">
        <v>402</v>
      </c>
      <c r="CT27" s="623">
        <f t="shared" si="1"/>
        <v>8</v>
      </c>
      <c r="CU27" s="597" t="str">
        <f>IF(Daten!B29="x",VLOOKUP(Daten!$DG$3,Daten!$B29:$D$40,3,0),"")</f>
        <v/>
      </c>
      <c r="CV27" s="589" t="str">
        <f t="shared" si="7"/>
        <v/>
      </c>
      <c r="CW27" s="592"/>
      <c r="DK27" s="592">
        <v>25</v>
      </c>
      <c r="DL27" s="592">
        <f t="shared" si="4"/>
        <v>1</v>
      </c>
      <c r="DM27" s="626" t="str">
        <f t="shared" si="5"/>
        <v/>
      </c>
      <c r="DN27" s="623">
        <f t="shared" si="6"/>
        <v>0</v>
      </c>
      <c r="DO27" s="592" t="str">
        <f t="shared" si="8"/>
        <v/>
      </c>
    </row>
    <row r="28" spans="1:119">
      <c r="A28" s="589">
        <f>Daten!$DE$7</f>
        <v>0</v>
      </c>
      <c r="B28" s="589">
        <f>IF(Daten!$DF$7="x","x",0)</f>
        <v>0</v>
      </c>
      <c r="C28" s="589" t="s">
        <v>345</v>
      </c>
      <c r="D28" s="589" t="s">
        <v>562</v>
      </c>
      <c r="F28" s="589">
        <v>5</v>
      </c>
      <c r="G28" s="589">
        <v>4</v>
      </c>
      <c r="K28" s="589" t="s">
        <v>565</v>
      </c>
      <c r="T28" s="597" t="str">
        <f t="shared" si="0"/>
        <v>7,2 kWh - Fronius Battery 9.0</v>
      </c>
      <c r="U28" s="589" t="s">
        <v>391</v>
      </c>
      <c r="V28" s="589" t="s">
        <v>399</v>
      </c>
      <c r="W28" s="589" t="s">
        <v>393</v>
      </c>
      <c r="X28" s="589">
        <v>9</v>
      </c>
      <c r="Y28" s="589">
        <v>7.2</v>
      </c>
      <c r="Z28" s="589">
        <v>4.8</v>
      </c>
      <c r="AA28" s="589">
        <v>4.8</v>
      </c>
      <c r="AB28" s="589">
        <v>4.8</v>
      </c>
      <c r="AC28" s="589">
        <v>4.8</v>
      </c>
      <c r="AD28" s="598" t="s">
        <v>482</v>
      </c>
      <c r="AE28" s="598"/>
      <c r="AF28" s="589">
        <v>2</v>
      </c>
      <c r="AG28" s="600" t="s">
        <v>356</v>
      </c>
      <c r="AH28" s="589" t="s">
        <v>299</v>
      </c>
      <c r="AI28" s="589" t="s">
        <v>29</v>
      </c>
      <c r="AJ28" s="611" t="s">
        <v>487</v>
      </c>
      <c r="AK28" s="611"/>
      <c r="AL28" s="611"/>
      <c r="AM28" s="612"/>
      <c r="AO28" s="608"/>
      <c r="AP28" s="608"/>
      <c r="AQ28" s="608" t="s">
        <v>299</v>
      </c>
      <c r="AR28" s="608"/>
      <c r="AS28" s="608"/>
      <c r="AT28" s="608"/>
      <c r="AU28" s="608"/>
      <c r="AV28" s="608"/>
      <c r="AW28" s="608"/>
      <c r="AX28" s="609"/>
      <c r="AY28" s="599"/>
      <c r="CT28" s="623">
        <f t="shared" si="1"/>
        <v>8</v>
      </c>
      <c r="CU28" s="597" t="str">
        <f>IF(Daten!B30="x",VLOOKUP(Daten!$DG$3,Daten!$B30:$D$40,3,0),"")</f>
        <v/>
      </c>
      <c r="CV28" s="589" t="str">
        <f t="shared" si="7"/>
        <v/>
      </c>
      <c r="CW28" s="592"/>
      <c r="DK28" s="592">
        <v>26</v>
      </c>
      <c r="DL28" s="592">
        <f t="shared" si="4"/>
        <v>1</v>
      </c>
      <c r="DM28" s="626" t="str">
        <f t="shared" si="5"/>
        <v/>
      </c>
      <c r="DN28" s="623">
        <f t="shared" si="6"/>
        <v>0</v>
      </c>
      <c r="DO28" s="592" t="str">
        <f t="shared" si="8"/>
        <v/>
      </c>
    </row>
    <row r="29" spans="1:119">
      <c r="A29" s="589">
        <f>Daten!$DE$7</f>
        <v>0</v>
      </c>
      <c r="B29" s="589">
        <f>IF(Daten!$DF$7="x","x",0)</f>
        <v>0</v>
      </c>
      <c r="C29" s="589" t="s">
        <v>345</v>
      </c>
      <c r="D29" s="589" t="s">
        <v>563</v>
      </c>
      <c r="F29" s="589">
        <v>6.25</v>
      </c>
      <c r="G29" s="589">
        <v>4.5999999999999996</v>
      </c>
      <c r="K29" s="589" t="s">
        <v>565</v>
      </c>
      <c r="T29" s="597" t="str">
        <f t="shared" si="0"/>
        <v>8,4 kWh - Fronius Battery 10.5</v>
      </c>
      <c r="U29" s="589" t="s">
        <v>391</v>
      </c>
      <c r="V29" s="589" t="s">
        <v>400</v>
      </c>
      <c r="W29" s="589" t="s">
        <v>393</v>
      </c>
      <c r="X29" s="589">
        <v>10.5</v>
      </c>
      <c r="Y29" s="589">
        <v>8.4</v>
      </c>
      <c r="Z29" s="589">
        <v>5.6</v>
      </c>
      <c r="AA29" s="589">
        <v>5.6</v>
      </c>
      <c r="AB29" s="589">
        <v>5.6</v>
      </c>
      <c r="AC29" s="589">
        <v>5.6</v>
      </c>
      <c r="AD29" s="598" t="s">
        <v>482</v>
      </c>
      <c r="AE29" s="598"/>
      <c r="AF29" s="589">
        <v>1</v>
      </c>
      <c r="AG29" s="600" t="s">
        <v>356</v>
      </c>
      <c r="AH29" s="589" t="s">
        <v>299</v>
      </c>
      <c r="AI29" s="589" t="s">
        <v>29</v>
      </c>
      <c r="AJ29" s="611" t="s">
        <v>488</v>
      </c>
      <c r="AK29" s="611"/>
      <c r="AL29" s="611"/>
      <c r="AM29" s="612"/>
      <c r="AO29" s="608"/>
      <c r="AP29" s="608"/>
      <c r="AQ29" s="608" t="s">
        <v>299</v>
      </c>
      <c r="AR29" s="608"/>
      <c r="AS29" s="608"/>
      <c r="AT29" s="608"/>
      <c r="AU29" s="608"/>
      <c r="AV29" s="608"/>
      <c r="AW29" s="608"/>
      <c r="AX29" s="609"/>
      <c r="AY29" s="599"/>
      <c r="CT29" s="623">
        <f t="shared" si="1"/>
        <v>8</v>
      </c>
      <c r="CU29" s="597" t="str">
        <f>IF(Daten!B31="x",VLOOKUP(Daten!$DG$3,Daten!$B31:$D$40,3,0),"")</f>
        <v/>
      </c>
      <c r="CV29" s="589" t="str">
        <f t="shared" si="7"/>
        <v/>
      </c>
      <c r="CW29" s="592"/>
      <c r="DK29" s="592">
        <v>27</v>
      </c>
      <c r="DL29" s="592">
        <f t="shared" si="4"/>
        <v>1</v>
      </c>
      <c r="DM29" s="626" t="str">
        <f t="shared" si="5"/>
        <v/>
      </c>
      <c r="DN29" s="623">
        <f t="shared" si="6"/>
        <v>0</v>
      </c>
      <c r="DO29" s="592" t="str">
        <f t="shared" si="8"/>
        <v/>
      </c>
    </row>
    <row r="30" spans="1:119">
      <c r="T30" s="597" t="str">
        <f t="shared" si="0"/>
        <v>9,6 kWh - Fronius Battery 12.0</v>
      </c>
      <c r="U30" s="589" t="s">
        <v>391</v>
      </c>
      <c r="V30" s="589" t="s">
        <v>401</v>
      </c>
      <c r="W30" s="589" t="s">
        <v>393</v>
      </c>
      <c r="X30" s="589">
        <v>12</v>
      </c>
      <c r="Y30" s="589">
        <v>9.6000000000000014</v>
      </c>
      <c r="Z30" s="589">
        <v>6.4</v>
      </c>
      <c r="AA30" s="589">
        <v>6.4</v>
      </c>
      <c r="AB30" s="589">
        <v>6.4</v>
      </c>
      <c r="AC30" s="589">
        <v>6.4</v>
      </c>
      <c r="AD30" s="598" t="s">
        <v>482</v>
      </c>
      <c r="AE30" s="598"/>
      <c r="AF30" s="589">
        <v>0</v>
      </c>
      <c r="AG30" s="600" t="s">
        <v>356</v>
      </c>
      <c r="AH30" s="600" t="s">
        <v>299</v>
      </c>
      <c r="AI30" s="589" t="s">
        <v>29</v>
      </c>
      <c r="AJ30" s="611" t="s">
        <v>489</v>
      </c>
      <c r="AK30" s="611"/>
      <c r="AL30" s="611"/>
      <c r="AM30" s="612"/>
      <c r="AO30" s="608"/>
      <c r="AP30" s="608"/>
      <c r="AQ30" s="608" t="s">
        <v>299</v>
      </c>
      <c r="AR30" s="608"/>
      <c r="AS30" s="608"/>
      <c r="AT30" s="608"/>
      <c r="AU30" s="608"/>
      <c r="AV30" s="608"/>
      <c r="AW30" s="608"/>
      <c r="AX30" s="609"/>
      <c r="BD30" s="589" t="s">
        <v>408</v>
      </c>
      <c r="BE30" s="604">
        <f>ROUND('Auslegung Stromspeicher'!C4*'Auslegung Stromspeicher'!C3/'Auslegung Stromspeicher'!C2,1)</f>
        <v>1</v>
      </c>
      <c r="BG30" s="605">
        <f>MATCH(BE30,BB26:BS26,1)+53</f>
        <v>62</v>
      </c>
      <c r="BW30" s="589" t="s">
        <v>408</v>
      </c>
      <c r="BX30" s="601">
        <f>BE30</f>
        <v>1</v>
      </c>
      <c r="BZ30" s="605">
        <f>MATCH(BX30,BV26:CS26,1)+73</f>
        <v>82</v>
      </c>
      <c r="CT30" s="623">
        <f t="shared" si="1"/>
        <v>8</v>
      </c>
      <c r="CU30" s="597" t="str">
        <f>IF(Daten!B32="x",VLOOKUP(Daten!$DG$3,Daten!$B32:$D$40,3,0),"")</f>
        <v/>
      </c>
      <c r="CV30" s="589" t="str">
        <f t="shared" si="7"/>
        <v/>
      </c>
      <c r="CW30" s="592"/>
      <c r="DK30" s="592">
        <v>28</v>
      </c>
      <c r="DL30" s="592">
        <f t="shared" si="4"/>
        <v>1</v>
      </c>
      <c r="DM30" s="626" t="str">
        <f t="shared" si="5"/>
        <v/>
      </c>
      <c r="DN30" s="623">
        <f t="shared" si="6"/>
        <v>0</v>
      </c>
      <c r="DO30" s="592" t="str">
        <f t="shared" si="8"/>
        <v/>
      </c>
    </row>
    <row r="31" spans="1:119">
      <c r="S31" s="589" t="s">
        <v>299</v>
      </c>
      <c r="T31" s="597" t="str">
        <f t="shared" si="0"/>
        <v>3,2 kWh - Hoppecke sun powerpack classic 6.4-48</v>
      </c>
      <c r="U31" s="589" t="s">
        <v>403</v>
      </c>
      <c r="V31" s="589" t="s">
        <v>404</v>
      </c>
      <c r="W31" s="589" t="s">
        <v>405</v>
      </c>
      <c r="X31" s="589">
        <v>6.4</v>
      </c>
      <c r="Y31" s="601">
        <v>3.2</v>
      </c>
      <c r="Z31" s="601">
        <v>1.3</v>
      </c>
      <c r="AA31" s="601">
        <v>1.3</v>
      </c>
      <c r="AB31" s="598"/>
      <c r="AC31" s="598"/>
      <c r="AD31" s="598"/>
      <c r="AE31" s="598"/>
      <c r="AG31" s="600" t="s">
        <v>356</v>
      </c>
      <c r="AH31" s="589" t="s">
        <v>299</v>
      </c>
      <c r="AI31" s="589" t="s">
        <v>30</v>
      </c>
      <c r="AJ31" s="611"/>
      <c r="AK31" s="611"/>
      <c r="AL31" s="611"/>
      <c r="AM31" s="612"/>
      <c r="AO31" s="608" t="s">
        <v>299</v>
      </c>
      <c r="AP31" s="608"/>
      <c r="AQ31" s="608"/>
      <c r="AR31" s="608"/>
      <c r="AS31" s="608"/>
      <c r="AT31" s="608"/>
      <c r="AU31" s="608"/>
      <c r="AV31" s="608"/>
      <c r="AW31" s="608"/>
      <c r="AX31" s="609"/>
      <c r="AY31" s="599"/>
      <c r="BD31" s="589" t="s">
        <v>410</v>
      </c>
      <c r="BE31" s="604">
        <f>ROUND('Auslegung Stromspeicher'!D8*1000/'Auslegung Stromspeicher'!C2,1)</f>
        <v>1.2</v>
      </c>
      <c r="BG31" s="605">
        <f>MATCH(BE31,BA6:BA25,0)+5</f>
        <v>14</v>
      </c>
      <c r="BW31" s="589" t="s">
        <v>410</v>
      </c>
      <c r="BX31" s="601">
        <f>BE31</f>
        <v>1.2</v>
      </c>
      <c r="BZ31" s="605">
        <f>MATCH(BX31,BU6:BU25,0)+5</f>
        <v>14</v>
      </c>
      <c r="CT31" s="623">
        <f t="shared" si="1"/>
        <v>8</v>
      </c>
      <c r="CU31" s="597" t="str">
        <f>IF(Daten!B33="x",VLOOKUP(Daten!$DG$3,Daten!$B33:$D$40,3,0),"")</f>
        <v/>
      </c>
      <c r="CV31" s="589" t="str">
        <f t="shared" si="7"/>
        <v/>
      </c>
      <c r="CW31" s="592"/>
      <c r="DK31" s="592">
        <v>29</v>
      </c>
      <c r="DL31" s="592">
        <f t="shared" si="4"/>
        <v>1</v>
      </c>
      <c r="DM31" s="626" t="str">
        <f t="shared" si="5"/>
        <v/>
      </c>
      <c r="DN31" s="623">
        <f t="shared" si="6"/>
        <v>0</v>
      </c>
      <c r="DO31" s="592" t="str">
        <f t="shared" si="8"/>
        <v/>
      </c>
    </row>
    <row r="32" spans="1:119">
      <c r="A32" s="589">
        <f>Daten!$DE$9</f>
        <v>0</v>
      </c>
      <c r="B32" s="589">
        <f>IF(Daten!$DF$9="x","x",0)</f>
        <v>0</v>
      </c>
      <c r="C32" s="589" t="s">
        <v>397</v>
      </c>
      <c r="D32" s="589" t="s">
        <v>347</v>
      </c>
      <c r="E32" s="589" t="s">
        <v>503</v>
      </c>
      <c r="F32" s="589">
        <v>6.6</v>
      </c>
      <c r="G32" s="589">
        <v>5</v>
      </c>
      <c r="H32" s="589">
        <v>5.52</v>
      </c>
      <c r="K32" s="589" t="s">
        <v>507</v>
      </c>
      <c r="M32" s="589">
        <v>3</v>
      </c>
      <c r="N32" s="589">
        <v>3</v>
      </c>
      <c r="Q32" s="589">
        <v>3</v>
      </c>
      <c r="R32" s="589" t="s">
        <v>398</v>
      </c>
      <c r="S32" s="589" t="s">
        <v>299</v>
      </c>
      <c r="T32" s="597" t="str">
        <f t="shared" si="0"/>
        <v>4 kWh - Hoppecke sun powerpack classic 8.0-48</v>
      </c>
      <c r="U32" s="589" t="s">
        <v>403</v>
      </c>
      <c r="V32" s="589" t="s">
        <v>406</v>
      </c>
      <c r="W32" s="589" t="s">
        <v>405</v>
      </c>
      <c r="X32" s="589">
        <v>8</v>
      </c>
      <c r="Y32" s="601">
        <v>4</v>
      </c>
      <c r="Z32" s="601">
        <v>1.6</v>
      </c>
      <c r="AA32" s="601">
        <v>1.6</v>
      </c>
      <c r="AB32" s="598"/>
      <c r="AC32" s="598"/>
      <c r="AD32" s="598"/>
      <c r="AE32" s="598"/>
      <c r="AG32" s="600" t="s">
        <v>356</v>
      </c>
      <c r="AH32" s="600" t="s">
        <v>299</v>
      </c>
      <c r="AI32" s="589" t="s">
        <v>30</v>
      </c>
      <c r="AJ32" s="611"/>
      <c r="AK32" s="611"/>
      <c r="AL32" s="611"/>
      <c r="AM32" s="612"/>
      <c r="AO32" s="608" t="s">
        <v>299</v>
      </c>
      <c r="AP32" s="608"/>
      <c r="AQ32" s="608"/>
      <c r="AR32" s="608"/>
      <c r="AS32" s="608"/>
      <c r="AT32" s="608"/>
      <c r="AU32" s="608"/>
      <c r="AV32" s="608"/>
      <c r="AW32" s="608"/>
      <c r="AX32" s="609"/>
      <c r="AY32" s="599"/>
      <c r="BG32" s="589" t="str">
        <f>ADDRESS(BG31,BG30,4,1)</f>
        <v>BJ14</v>
      </c>
      <c r="BH32" s="589">
        <f ca="1">INDIRECT(BG32,1)</f>
        <v>53</v>
      </c>
      <c r="BZ32" s="589" t="str">
        <f>ADDRESS(BZ31,BZ30,4,1)</f>
        <v>CD14</v>
      </c>
      <c r="CA32" s="589">
        <f ca="1">INDIRECT(BZ32,1)</f>
        <v>58</v>
      </c>
      <c r="CT32" s="623">
        <f t="shared" si="1"/>
        <v>8</v>
      </c>
      <c r="CU32" s="597" t="str">
        <f>IF(Daten!B34="x",VLOOKUP(Daten!$DG$3,Daten!$B34:$D$40,3,0),"")</f>
        <v/>
      </c>
      <c r="CV32" s="589" t="str">
        <f t="shared" si="7"/>
        <v/>
      </c>
      <c r="CW32" s="592"/>
      <c r="DK32" s="592">
        <v>30</v>
      </c>
      <c r="DL32" s="592">
        <f t="shared" si="4"/>
        <v>1</v>
      </c>
      <c r="DM32" s="626" t="str">
        <f t="shared" si="5"/>
        <v/>
      </c>
      <c r="DN32" s="623">
        <f t="shared" si="6"/>
        <v>0</v>
      </c>
      <c r="DO32" s="592" t="str">
        <f t="shared" si="8"/>
        <v/>
      </c>
    </row>
    <row r="33" spans="1:119">
      <c r="S33" s="589" t="s">
        <v>299</v>
      </c>
      <c r="T33" s="597" t="str">
        <f t="shared" si="0"/>
        <v>4 kWh - Hoppecke sun powerpack premium 5.0</v>
      </c>
      <c r="U33" s="589" t="s">
        <v>403</v>
      </c>
      <c r="V33" s="589" t="s">
        <v>407</v>
      </c>
      <c r="W33" s="589" t="s">
        <v>393</v>
      </c>
      <c r="X33" s="589">
        <v>5</v>
      </c>
      <c r="Y33" s="601">
        <v>4</v>
      </c>
      <c r="Z33" s="601">
        <v>5</v>
      </c>
      <c r="AA33" s="601">
        <v>5</v>
      </c>
      <c r="AB33" s="598"/>
      <c r="AC33" s="598"/>
      <c r="AD33" s="598"/>
      <c r="AE33" s="598"/>
      <c r="AF33" s="589">
        <v>3</v>
      </c>
      <c r="AG33" s="600" t="s">
        <v>356</v>
      </c>
      <c r="AH33" s="600" t="s">
        <v>299</v>
      </c>
      <c r="AI33" s="589" t="s">
        <v>29</v>
      </c>
      <c r="AJ33" s="611"/>
      <c r="AK33" s="611"/>
      <c r="AL33" s="611"/>
      <c r="AM33" s="612"/>
      <c r="AO33" s="608" t="s">
        <v>299</v>
      </c>
      <c r="AP33" s="608"/>
      <c r="AQ33" s="608"/>
      <c r="AR33" s="608"/>
      <c r="AS33" s="608"/>
      <c r="AT33" s="608"/>
      <c r="AU33" s="608"/>
      <c r="AV33" s="608"/>
      <c r="AW33" s="608"/>
      <c r="AX33" s="609"/>
      <c r="AY33" s="599"/>
      <c r="BE33" s="589" t="s">
        <v>493</v>
      </c>
      <c r="CT33" s="623">
        <f t="shared" si="1"/>
        <v>8</v>
      </c>
      <c r="CU33" s="597" t="str">
        <f>IF(Daten!B35="x",VLOOKUP(Daten!$DG$3,Daten!$B35:$D$40,3,0),"")</f>
        <v/>
      </c>
      <c r="CV33" s="589" t="str">
        <f t="shared" si="7"/>
        <v/>
      </c>
      <c r="CW33" s="592"/>
      <c r="DK33" s="592">
        <v>31</v>
      </c>
      <c r="DL33" s="592">
        <f t="shared" si="4"/>
        <v>1</v>
      </c>
      <c r="DM33" s="626" t="str">
        <f t="shared" si="5"/>
        <v/>
      </c>
      <c r="DN33" s="623">
        <f t="shared" si="6"/>
        <v>0</v>
      </c>
      <c r="DO33" s="592" t="str">
        <f t="shared" si="8"/>
        <v/>
      </c>
    </row>
    <row r="34" spans="1:119">
      <c r="S34" s="589" t="s">
        <v>299</v>
      </c>
      <c r="T34" s="597" t="str">
        <f t="shared" si="0"/>
        <v>5,5 kWh - Hoppecke sun powerpack classic 11.0-48</v>
      </c>
      <c r="U34" s="589" t="s">
        <v>403</v>
      </c>
      <c r="V34" s="589" t="s">
        <v>409</v>
      </c>
      <c r="W34" s="589" t="s">
        <v>405</v>
      </c>
      <c r="X34" s="589">
        <v>11</v>
      </c>
      <c r="Y34" s="601">
        <v>5.5</v>
      </c>
      <c r="Z34" s="601">
        <v>2.2000000000000002</v>
      </c>
      <c r="AA34" s="601">
        <v>2.2000000000000002</v>
      </c>
      <c r="AB34" s="598"/>
      <c r="AC34" s="598"/>
      <c r="AD34" s="598"/>
      <c r="AE34" s="598"/>
      <c r="AG34" s="600" t="s">
        <v>356</v>
      </c>
      <c r="AH34" s="600" t="s">
        <v>299</v>
      </c>
      <c r="AI34" s="589" t="s">
        <v>30</v>
      </c>
      <c r="AJ34" s="611"/>
      <c r="AK34" s="611"/>
      <c r="AL34" s="611"/>
      <c r="AM34" s="612"/>
      <c r="AO34" s="608" t="s">
        <v>299</v>
      </c>
      <c r="AP34" s="608"/>
      <c r="AQ34" s="608"/>
      <c r="AR34" s="608"/>
      <c r="AS34" s="608"/>
      <c r="AT34" s="608"/>
      <c r="AU34" s="608"/>
      <c r="AV34" s="608"/>
      <c r="AW34" s="608"/>
      <c r="AX34" s="609"/>
      <c r="AY34" s="599"/>
      <c r="BE34" s="703">
        <v>0</v>
      </c>
      <c r="BG34" s="589">
        <f>VLOOKUP(Solarstrom!E29,Solarstrom!S83:T121,2,0)/1000*BE34</f>
        <v>0</v>
      </c>
      <c r="CT34" s="623">
        <f t="shared" si="1"/>
        <v>8</v>
      </c>
      <c r="CU34" s="597" t="str">
        <f>IF(Daten!B36="x",VLOOKUP(Daten!$DG$3,Daten!$B36:$D$40,3,0),"")</f>
        <v/>
      </c>
      <c r="CV34" s="589" t="str">
        <f t="shared" si="7"/>
        <v/>
      </c>
      <c r="CW34" s="592"/>
      <c r="DK34" s="592">
        <v>32</v>
      </c>
      <c r="DL34" s="592">
        <f t="shared" si="4"/>
        <v>1</v>
      </c>
      <c r="DM34" s="626" t="str">
        <f t="shared" si="5"/>
        <v/>
      </c>
      <c r="DN34" s="623">
        <f t="shared" si="6"/>
        <v>0</v>
      </c>
      <c r="DO34" s="592" t="str">
        <f t="shared" si="8"/>
        <v/>
      </c>
    </row>
    <row r="35" spans="1:119">
      <c r="S35" s="589" t="s">
        <v>299</v>
      </c>
      <c r="T35" s="597" t="str">
        <f t="shared" si="0"/>
        <v>6 kWh - Hoppecke sun powerpack premium 7.5</v>
      </c>
      <c r="U35" s="589" t="s">
        <v>403</v>
      </c>
      <c r="V35" s="589" t="s">
        <v>411</v>
      </c>
      <c r="W35" s="589" t="s">
        <v>393</v>
      </c>
      <c r="X35" s="589">
        <v>7.5</v>
      </c>
      <c r="Y35" s="601">
        <v>6</v>
      </c>
      <c r="Z35" s="601">
        <v>7.5</v>
      </c>
      <c r="AA35" s="601">
        <v>7.5</v>
      </c>
      <c r="AB35" s="598"/>
      <c r="AC35" s="598"/>
      <c r="AD35" s="598"/>
      <c r="AE35" s="598"/>
      <c r="AF35" s="589">
        <v>3</v>
      </c>
      <c r="AG35" s="600" t="s">
        <v>356</v>
      </c>
      <c r="AI35" s="589" t="s">
        <v>110</v>
      </c>
      <c r="AJ35" s="611"/>
      <c r="AK35" s="611"/>
      <c r="AL35" s="611"/>
      <c r="AM35" s="612"/>
      <c r="AO35" s="608" t="s">
        <v>299</v>
      </c>
      <c r="AP35" s="608"/>
      <c r="AQ35" s="608"/>
      <c r="AR35" s="608"/>
      <c r="AS35" s="608"/>
      <c r="AT35" s="608"/>
      <c r="AU35" s="608"/>
      <c r="AV35" s="608"/>
      <c r="AW35" s="608"/>
      <c r="AX35" s="609"/>
      <c r="AY35" s="599"/>
      <c r="CT35" s="623">
        <f t="shared" si="1"/>
        <v>8</v>
      </c>
      <c r="CU35" s="597" t="str">
        <f>IF(Daten!B37="x",VLOOKUP(Daten!$DG$3,Daten!$B37:$D$40,3,0),"")</f>
        <v/>
      </c>
      <c r="CV35" s="589" t="str">
        <f t="shared" si="7"/>
        <v/>
      </c>
      <c r="CW35" s="592"/>
      <c r="DK35" s="592">
        <v>33</v>
      </c>
      <c r="DL35" s="592">
        <f t="shared" si="4"/>
        <v>1</v>
      </c>
      <c r="DM35" s="626" t="str">
        <f t="shared" si="5"/>
        <v/>
      </c>
      <c r="DN35" s="623">
        <f t="shared" si="6"/>
        <v>0</v>
      </c>
      <c r="DO35" s="592" t="str">
        <f t="shared" si="8"/>
        <v/>
      </c>
    </row>
    <row r="36" spans="1:119">
      <c r="S36" s="589" t="s">
        <v>299</v>
      </c>
      <c r="T36" s="597" t="str">
        <f t="shared" si="0"/>
        <v>8 kWh - Hoppecke sun powerpack classic 16.0-48</v>
      </c>
      <c r="U36" s="589" t="s">
        <v>403</v>
      </c>
      <c r="V36" s="589" t="s">
        <v>412</v>
      </c>
      <c r="W36" s="589" t="s">
        <v>405</v>
      </c>
      <c r="X36" s="589">
        <v>16</v>
      </c>
      <c r="Y36" s="601">
        <v>8</v>
      </c>
      <c r="Z36" s="601">
        <v>3.2</v>
      </c>
      <c r="AA36" s="601">
        <v>3.2</v>
      </c>
      <c r="AB36" s="598"/>
      <c r="AC36" s="598"/>
      <c r="AD36" s="598"/>
      <c r="AE36" s="598"/>
      <c r="AG36" s="600" t="s">
        <v>356</v>
      </c>
      <c r="AH36" s="600" t="s">
        <v>299</v>
      </c>
      <c r="AI36" s="589" t="s">
        <v>30</v>
      </c>
      <c r="AJ36" s="611"/>
      <c r="AK36" s="611"/>
      <c r="AL36" s="611"/>
      <c r="AM36" s="612"/>
      <c r="AO36" s="608" t="s">
        <v>299</v>
      </c>
      <c r="AP36" s="608"/>
      <c r="AQ36" s="608"/>
      <c r="AR36" s="608"/>
      <c r="AS36" s="608"/>
      <c r="AT36" s="608"/>
      <c r="AU36" s="608"/>
      <c r="AV36" s="608"/>
      <c r="AW36" s="608"/>
      <c r="AX36" s="609"/>
      <c r="AY36" s="599"/>
      <c r="CT36" s="623">
        <f t="shared" si="1"/>
        <v>8</v>
      </c>
      <c r="CU36" s="597" t="str">
        <f>IF(Daten!B38="x",VLOOKUP(Daten!$DG$3,Daten!$B38:$D$40,3,0),"")</f>
        <v/>
      </c>
      <c r="CV36" s="589" t="str">
        <f t="shared" si="7"/>
        <v/>
      </c>
      <c r="CW36" s="592"/>
      <c r="DK36" s="592">
        <v>34</v>
      </c>
      <c r="DL36" s="592">
        <f t="shared" ref="DL36:DL60" si="10">IF(DN36="x",1,0)+DL35</f>
        <v>1</v>
      </c>
      <c r="DM36" s="626" t="str">
        <f t="shared" si="5"/>
        <v/>
      </c>
      <c r="DN36" s="623">
        <f t="shared" si="6"/>
        <v>0</v>
      </c>
      <c r="DO36" s="592" t="str">
        <f t="shared" si="8"/>
        <v/>
      </c>
    </row>
    <row r="37" spans="1:119">
      <c r="S37" s="589" t="s">
        <v>299</v>
      </c>
      <c r="T37" s="597" t="str">
        <f t="shared" si="0"/>
        <v>12 kWh - Hoppecke sun powerpack classic 14.0-48</v>
      </c>
      <c r="U37" s="589" t="s">
        <v>403</v>
      </c>
      <c r="V37" s="589" t="s">
        <v>413</v>
      </c>
      <c r="W37" s="589" t="s">
        <v>405</v>
      </c>
      <c r="X37" s="589">
        <v>24</v>
      </c>
      <c r="Y37" s="601">
        <v>12</v>
      </c>
      <c r="Z37" s="601">
        <v>4.8</v>
      </c>
      <c r="AA37" s="601">
        <v>4.8</v>
      </c>
      <c r="AB37" s="598"/>
      <c r="AC37" s="598"/>
      <c r="AD37" s="598"/>
      <c r="AE37" s="598"/>
      <c r="AG37" s="600" t="s">
        <v>356</v>
      </c>
      <c r="AH37" s="600" t="s">
        <v>299</v>
      </c>
      <c r="AI37" s="589" t="s">
        <v>30</v>
      </c>
      <c r="AJ37" s="611"/>
      <c r="AK37" s="611"/>
      <c r="AL37" s="611"/>
      <c r="AM37" s="612"/>
      <c r="AO37" s="608" t="s">
        <v>299</v>
      </c>
      <c r="AP37" s="608"/>
      <c r="AQ37" s="608"/>
      <c r="AR37" s="608"/>
      <c r="AS37" s="608"/>
      <c r="AT37" s="608"/>
      <c r="AU37" s="608"/>
      <c r="AV37" s="608"/>
      <c r="AW37" s="608"/>
      <c r="AX37" s="609"/>
      <c r="CT37" s="623">
        <f t="shared" si="1"/>
        <v>8</v>
      </c>
      <c r="CU37" s="597" t="str">
        <f>IF(Daten!B39="x",VLOOKUP(Daten!$DG$3,Daten!$B39:$D$40,3,0),"")</f>
        <v/>
      </c>
      <c r="CV37" s="589" t="str">
        <f t="shared" si="7"/>
        <v/>
      </c>
      <c r="CW37" s="592"/>
      <c r="DK37" s="592">
        <v>35</v>
      </c>
      <c r="DL37" s="592">
        <f t="shared" si="10"/>
        <v>1</v>
      </c>
      <c r="DM37" s="626" t="str">
        <f t="shared" si="5"/>
        <v/>
      </c>
      <c r="DN37" s="623">
        <f t="shared" si="6"/>
        <v>0</v>
      </c>
      <c r="DO37" s="592" t="str">
        <f t="shared" si="8"/>
        <v/>
      </c>
    </row>
    <row r="38" spans="1:119">
      <c r="T38" s="597" t="str">
        <f t="shared" si="0"/>
        <v>5,94 kWh - LG ESS 5.0 / 5,8</v>
      </c>
      <c r="U38" s="589" t="s">
        <v>501</v>
      </c>
      <c r="V38" s="589" t="s">
        <v>577</v>
      </c>
      <c r="W38" s="589" t="s">
        <v>417</v>
      </c>
      <c r="X38" s="589">
        <v>6.4</v>
      </c>
      <c r="Y38" s="589">
        <v>5.94</v>
      </c>
      <c r="Z38" s="589">
        <v>3</v>
      </c>
      <c r="AA38" s="589">
        <v>3</v>
      </c>
      <c r="AD38" s="589" t="s">
        <v>490</v>
      </c>
      <c r="AI38" s="589" t="s">
        <v>29</v>
      </c>
      <c r="AJ38" s="589" t="s">
        <v>508</v>
      </c>
      <c r="AO38" s="608"/>
      <c r="AP38" s="608"/>
      <c r="AQ38" s="608"/>
      <c r="AR38" s="608"/>
      <c r="AS38" s="608"/>
      <c r="AT38" s="608"/>
      <c r="AU38" s="608" t="s">
        <v>299</v>
      </c>
      <c r="AV38" s="608"/>
      <c r="AW38" s="608"/>
      <c r="AX38" s="609"/>
      <c r="CT38" s="623">
        <f>IF(CU38&lt;&gt;"",1,0)+CT37</f>
        <v>8</v>
      </c>
      <c r="CU38" s="597" t="str">
        <f>IF(Daten!B40="x",VLOOKUP(Daten!$DG$3,Daten!$B40:$D$40,3,0),"")</f>
        <v/>
      </c>
      <c r="CV38" s="589" t="str">
        <f t="shared" si="7"/>
        <v/>
      </c>
      <c r="CW38" s="592"/>
      <c r="DK38" s="592">
        <v>36</v>
      </c>
      <c r="DL38" s="592">
        <f t="shared" si="10"/>
        <v>1</v>
      </c>
      <c r="DM38" s="626" t="str">
        <f t="shared" si="5"/>
        <v/>
      </c>
      <c r="DN38" s="623">
        <f t="shared" si="6"/>
        <v>0</v>
      </c>
      <c r="DO38" s="592" t="str">
        <f t="shared" si="8"/>
        <v/>
      </c>
    </row>
    <row r="39" spans="1:119">
      <c r="S39" s="589" t="s">
        <v>299</v>
      </c>
      <c r="T39" s="597" t="str">
        <f t="shared" si="0"/>
        <v>2,9 kWh - LG Chem RESU 3.2EX</v>
      </c>
      <c r="U39" s="589" t="s">
        <v>414</v>
      </c>
      <c r="V39" s="589" t="s">
        <v>436</v>
      </c>
      <c r="W39" s="589" t="s">
        <v>417</v>
      </c>
      <c r="X39" s="589">
        <v>3.2</v>
      </c>
      <c r="Y39" s="601">
        <v>2.9</v>
      </c>
      <c r="Z39" s="589">
        <v>2</v>
      </c>
      <c r="AA39" s="589">
        <v>2</v>
      </c>
      <c r="AB39" s="589">
        <v>5</v>
      </c>
      <c r="AC39" s="589">
        <v>5.28</v>
      </c>
      <c r="AD39" s="589" t="s">
        <v>490</v>
      </c>
      <c r="AE39" s="589" t="s">
        <v>435</v>
      </c>
      <c r="AF39" s="589">
        <v>2</v>
      </c>
      <c r="AI39" s="589" t="s">
        <v>93</v>
      </c>
      <c r="AJ39" s="611" t="s">
        <v>492</v>
      </c>
      <c r="AK39" s="611"/>
      <c r="AL39" s="611"/>
      <c r="AM39" s="612"/>
      <c r="AO39" s="608" t="s">
        <v>299</v>
      </c>
      <c r="AP39" s="608"/>
      <c r="AQ39" s="608"/>
      <c r="AR39" s="608" t="s">
        <v>299</v>
      </c>
      <c r="AS39" s="608"/>
      <c r="AT39" s="608" t="s">
        <v>299</v>
      </c>
      <c r="AU39" s="608"/>
      <c r="AV39" s="608"/>
      <c r="AW39" s="608"/>
      <c r="AX39" s="608"/>
      <c r="AY39" s="599"/>
      <c r="CT39" s="623">
        <f>IF(CU39&lt;&gt;"",1,0)+CT38</f>
        <v>8</v>
      </c>
      <c r="CU39" s="597" t="str">
        <f>IF(Daten!B41="x",VLOOKUP(Daten!$DG$3,Daten!$B$40:$D41,3,0),"")</f>
        <v/>
      </c>
      <c r="CV39" s="589" t="str">
        <f t="shared" si="7"/>
        <v/>
      </c>
      <c r="CW39" s="592"/>
      <c r="DK39" s="592">
        <v>37</v>
      </c>
      <c r="DL39" s="592">
        <f t="shared" si="10"/>
        <v>1</v>
      </c>
      <c r="DM39" s="626" t="str">
        <f t="shared" si="5"/>
        <v/>
      </c>
      <c r="DN39" s="623">
        <f t="shared" si="6"/>
        <v>0</v>
      </c>
      <c r="DO39" s="592" t="str">
        <f t="shared" si="8"/>
        <v/>
      </c>
    </row>
    <row r="40" spans="1:119">
      <c r="S40" s="589" t="s">
        <v>299</v>
      </c>
      <c r="T40" s="597" t="str">
        <f t="shared" si="0"/>
        <v>2,9 kWh - LG Chem RESU 3.3</v>
      </c>
      <c r="U40" s="589" t="s">
        <v>414</v>
      </c>
      <c r="V40" s="589" t="s">
        <v>416</v>
      </c>
      <c r="W40" s="589" t="s">
        <v>526</v>
      </c>
      <c r="X40" s="589">
        <v>3.3</v>
      </c>
      <c r="Y40" s="589">
        <v>2.9</v>
      </c>
      <c r="Z40" s="589">
        <v>1.1000000000000001</v>
      </c>
      <c r="AA40" s="589">
        <v>1.1000000000000001</v>
      </c>
      <c r="AB40" s="589">
        <v>3</v>
      </c>
      <c r="AC40" s="589">
        <v>3.3</v>
      </c>
      <c r="AD40" s="613" t="s">
        <v>434</v>
      </c>
      <c r="AE40" s="589" t="s">
        <v>435</v>
      </c>
      <c r="AF40" s="589">
        <v>1</v>
      </c>
      <c r="AH40" s="600" t="s">
        <v>299</v>
      </c>
      <c r="AI40" s="589" t="s">
        <v>29</v>
      </c>
      <c r="AJ40" s="611" t="s">
        <v>519</v>
      </c>
      <c r="AK40" s="611"/>
      <c r="AL40" s="611"/>
      <c r="AM40" s="612"/>
      <c r="AO40" s="608" t="s">
        <v>299</v>
      </c>
      <c r="AP40" s="608"/>
      <c r="AQ40" s="608"/>
      <c r="AR40" s="608"/>
      <c r="AS40" s="608"/>
      <c r="AT40" s="608" t="s">
        <v>299</v>
      </c>
      <c r="AU40" s="608"/>
      <c r="AV40" s="608" t="s">
        <v>523</v>
      </c>
      <c r="AW40" s="608"/>
      <c r="AX40" s="608"/>
      <c r="AY40" s="599"/>
      <c r="CS40" s="592"/>
      <c r="CT40" s="623">
        <f>IF(CU40&lt;&gt;"",1,0)+CT39</f>
        <v>8</v>
      </c>
      <c r="CU40" s="597" t="str">
        <f>IF(Daten!B42="x",VLOOKUP(Daten!$DG$3,Daten!$B$40:$D42,3,0),"")</f>
        <v/>
      </c>
      <c r="CV40" s="589" t="str">
        <f t="shared" si="7"/>
        <v/>
      </c>
      <c r="CW40" s="592"/>
      <c r="DK40" s="592">
        <v>38</v>
      </c>
      <c r="DL40" s="592">
        <f t="shared" si="10"/>
        <v>1</v>
      </c>
      <c r="DM40" s="626" t="str">
        <f t="shared" si="5"/>
        <v/>
      </c>
      <c r="DN40" s="623">
        <f t="shared" si="6"/>
        <v>0</v>
      </c>
      <c r="DO40" s="592" t="str">
        <f t="shared" si="8"/>
        <v/>
      </c>
    </row>
    <row r="41" spans="1:119">
      <c r="T41" s="597" t="str">
        <f t="shared" si="0"/>
        <v>5,8 kWh - LG Chem RESU6.4EX</v>
      </c>
      <c r="U41" s="589" t="s">
        <v>414</v>
      </c>
      <c r="V41" s="589" t="s">
        <v>415</v>
      </c>
      <c r="W41" s="589" t="s">
        <v>417</v>
      </c>
      <c r="X41" s="589">
        <v>6.4</v>
      </c>
      <c r="Y41" s="601">
        <v>5.8</v>
      </c>
      <c r="Z41" s="589">
        <v>2</v>
      </c>
      <c r="AA41" s="589">
        <v>2</v>
      </c>
      <c r="AB41" s="589">
        <v>5</v>
      </c>
      <c r="AC41" s="589">
        <v>5.28</v>
      </c>
      <c r="AD41" s="589" t="s">
        <v>490</v>
      </c>
      <c r="AE41" s="589" t="s">
        <v>435</v>
      </c>
      <c r="AF41" s="589">
        <v>2</v>
      </c>
      <c r="AG41" s="600" t="s">
        <v>356</v>
      </c>
      <c r="AH41" s="600" t="s">
        <v>299</v>
      </c>
      <c r="AI41" s="589" t="s">
        <v>30</v>
      </c>
      <c r="AJ41" s="611" t="s">
        <v>491</v>
      </c>
      <c r="AK41" s="611"/>
      <c r="AL41" s="611"/>
      <c r="AM41" s="612"/>
      <c r="AO41" s="608" t="s">
        <v>299</v>
      </c>
      <c r="AP41" s="608"/>
      <c r="AQ41" s="608"/>
      <c r="AR41" s="608" t="s">
        <v>299</v>
      </c>
      <c r="AS41" s="608"/>
      <c r="AT41" s="608" t="s">
        <v>299</v>
      </c>
      <c r="AU41" s="608"/>
      <c r="AV41" s="608"/>
      <c r="AW41" s="608"/>
      <c r="AX41" s="609"/>
      <c r="AY41" s="599"/>
      <c r="CS41" s="592"/>
      <c r="CT41" s="592"/>
      <c r="CU41" s="592"/>
      <c r="CV41" s="592"/>
      <c r="CW41" s="592"/>
      <c r="DK41" s="592">
        <v>39</v>
      </c>
      <c r="DL41" s="592">
        <f t="shared" si="10"/>
        <v>1</v>
      </c>
      <c r="DM41" s="626" t="str">
        <f t="shared" si="5"/>
        <v/>
      </c>
      <c r="DN41" s="623">
        <f t="shared" si="6"/>
        <v>0</v>
      </c>
      <c r="DO41" s="592" t="str">
        <f t="shared" si="8"/>
        <v/>
      </c>
    </row>
    <row r="42" spans="1:119">
      <c r="S42" s="589" t="s">
        <v>299</v>
      </c>
      <c r="T42" s="597" t="str">
        <f t="shared" si="0"/>
        <v>5,9 kWh - LG Chem RESU 6.5</v>
      </c>
      <c r="U42" s="589" t="s">
        <v>414</v>
      </c>
      <c r="V42" s="589" t="s">
        <v>418</v>
      </c>
      <c r="W42" s="589" t="s">
        <v>526</v>
      </c>
      <c r="X42" s="589">
        <v>6.5</v>
      </c>
      <c r="Y42" s="589">
        <v>5.9</v>
      </c>
      <c r="Z42" s="589">
        <v>2.2000000000000002</v>
      </c>
      <c r="AA42" s="589">
        <v>2.2000000000000002</v>
      </c>
      <c r="AB42" s="589">
        <v>4.2</v>
      </c>
      <c r="AC42" s="589">
        <v>4.5999999999999996</v>
      </c>
      <c r="AD42" s="613" t="s">
        <v>434</v>
      </c>
      <c r="AF42" s="589">
        <v>1</v>
      </c>
      <c r="AH42" s="600" t="s">
        <v>299</v>
      </c>
      <c r="AI42" s="589" t="s">
        <v>29</v>
      </c>
      <c r="AJ42" s="611" t="s">
        <v>520</v>
      </c>
      <c r="AK42" s="611"/>
      <c r="AL42" s="611"/>
      <c r="AM42" s="612"/>
      <c r="AO42" s="608" t="s">
        <v>299</v>
      </c>
      <c r="AP42" s="608"/>
      <c r="AQ42" s="608"/>
      <c r="AR42" s="608"/>
      <c r="AS42" s="608"/>
      <c r="AT42" s="608" t="s">
        <v>299</v>
      </c>
      <c r="AU42" s="608"/>
      <c r="AV42" s="608" t="s">
        <v>523</v>
      </c>
      <c r="AW42" s="608"/>
      <c r="AX42" s="609"/>
      <c r="AY42" s="599"/>
      <c r="CS42" s="592"/>
      <c r="CT42" s="592"/>
      <c r="CU42" s="592"/>
      <c r="CV42" s="592"/>
      <c r="CW42" s="592"/>
      <c r="DK42" s="592">
        <v>40</v>
      </c>
      <c r="DL42" s="592">
        <f t="shared" si="10"/>
        <v>1</v>
      </c>
      <c r="DM42" s="626" t="str">
        <f t="shared" si="5"/>
        <v/>
      </c>
      <c r="DN42" s="623">
        <f t="shared" si="6"/>
        <v>0</v>
      </c>
      <c r="DO42" s="592" t="str">
        <f t="shared" si="8"/>
        <v/>
      </c>
    </row>
    <row r="43" spans="1:119">
      <c r="S43" s="589" t="s">
        <v>299</v>
      </c>
      <c r="T43" s="597" t="str">
        <f t="shared" si="0"/>
        <v>8,8 kWh - LG Chem RESU 10</v>
      </c>
      <c r="U43" s="589" t="s">
        <v>414</v>
      </c>
      <c r="V43" s="600" t="s">
        <v>422</v>
      </c>
      <c r="W43" s="589" t="s">
        <v>526</v>
      </c>
      <c r="X43" s="600">
        <v>9.8000000000000007</v>
      </c>
      <c r="Y43" s="600">
        <v>8.8000000000000007</v>
      </c>
      <c r="Z43" s="589">
        <v>3.3</v>
      </c>
      <c r="AA43" s="589">
        <v>3.3</v>
      </c>
      <c r="AB43" s="589">
        <v>5</v>
      </c>
      <c r="AC43" s="589">
        <v>7</v>
      </c>
      <c r="AD43" s="613" t="s">
        <v>434</v>
      </c>
      <c r="AF43" s="589">
        <v>1</v>
      </c>
      <c r="AH43" s="589" t="s">
        <v>299</v>
      </c>
      <c r="AI43" s="589" t="s">
        <v>29</v>
      </c>
      <c r="AJ43" s="611" t="s">
        <v>521</v>
      </c>
      <c r="AK43" s="611"/>
      <c r="AL43" s="611"/>
      <c r="AM43" s="612"/>
      <c r="AO43" s="608" t="s">
        <v>299</v>
      </c>
      <c r="AP43" s="608"/>
      <c r="AQ43" s="608"/>
      <c r="AR43" s="608"/>
      <c r="AS43" s="608"/>
      <c r="AT43" s="608" t="s">
        <v>299</v>
      </c>
      <c r="AU43" s="608"/>
      <c r="AV43" s="608" t="s">
        <v>523</v>
      </c>
      <c r="AW43" s="608"/>
      <c r="AX43" s="609"/>
      <c r="AY43" s="599"/>
      <c r="CS43" s="592"/>
      <c r="CT43" s="592"/>
      <c r="CU43" s="592"/>
      <c r="CV43" s="592"/>
      <c r="CW43" s="592"/>
      <c r="DK43" s="592">
        <v>41</v>
      </c>
      <c r="DL43" s="592">
        <f t="shared" si="10"/>
        <v>1</v>
      </c>
      <c r="DM43" s="626" t="str">
        <f t="shared" si="5"/>
        <v/>
      </c>
      <c r="DN43" s="623">
        <f t="shared" si="6"/>
        <v>0</v>
      </c>
      <c r="DO43" s="592" t="str">
        <f t="shared" si="8"/>
        <v/>
      </c>
    </row>
    <row r="44" spans="1:119">
      <c r="B44" s="629"/>
      <c r="T44" s="597" t="str">
        <f t="shared" si="0"/>
        <v>6,6 kWh - LG-Chem RESU 7H</v>
      </c>
      <c r="U44" s="589" t="s">
        <v>573</v>
      </c>
      <c r="V44" s="589" t="s">
        <v>420</v>
      </c>
      <c r="W44" s="589" t="s">
        <v>526</v>
      </c>
      <c r="X44" s="589">
        <v>7</v>
      </c>
      <c r="Y44" s="589">
        <v>6.6</v>
      </c>
      <c r="AF44" s="589">
        <v>1</v>
      </c>
      <c r="AI44" s="589" t="s">
        <v>29</v>
      </c>
      <c r="AJ44" s="611" t="s">
        <v>524</v>
      </c>
      <c r="AK44" s="611"/>
      <c r="AL44" s="611"/>
      <c r="AM44" s="612"/>
      <c r="AO44" s="608"/>
      <c r="AP44" s="608"/>
      <c r="AQ44" s="608"/>
      <c r="AR44" s="608"/>
      <c r="AS44" s="608" t="s">
        <v>299</v>
      </c>
      <c r="AT44" s="608"/>
      <c r="AU44" s="608"/>
      <c r="AV44" s="608"/>
      <c r="AW44" s="608" t="s">
        <v>299</v>
      </c>
      <c r="AX44" s="609"/>
      <c r="AY44" s="599"/>
      <c r="CS44" s="592"/>
      <c r="CT44" s="592"/>
      <c r="CU44" s="592"/>
      <c r="CV44" s="592"/>
      <c r="CW44" s="592"/>
      <c r="DK44" s="592">
        <v>42</v>
      </c>
      <c r="DL44" s="592">
        <f t="shared" si="10"/>
        <v>1</v>
      </c>
      <c r="DM44" s="626" t="str">
        <f t="shared" si="5"/>
        <v/>
      </c>
      <c r="DN44" s="623">
        <f t="shared" si="6"/>
        <v>0</v>
      </c>
      <c r="DO44" s="592" t="str">
        <f t="shared" si="8"/>
        <v/>
      </c>
    </row>
    <row r="45" spans="1:119">
      <c r="A45" s="592"/>
      <c r="B45" s="629"/>
      <c r="T45" s="597" t="str">
        <f t="shared" si="0"/>
        <v>9,3 kWh - LG-Chem RESU 10H</v>
      </c>
      <c r="U45" s="589" t="s">
        <v>573</v>
      </c>
      <c r="V45" s="589" t="s">
        <v>424</v>
      </c>
      <c r="W45" s="589" t="s">
        <v>526</v>
      </c>
      <c r="X45" s="589">
        <v>9.8000000000000007</v>
      </c>
      <c r="Y45" s="589">
        <v>9.3000000000000007</v>
      </c>
      <c r="AF45" s="589">
        <v>1</v>
      </c>
      <c r="AH45" s="589" t="s">
        <v>299</v>
      </c>
      <c r="AI45" s="589" t="s">
        <v>29</v>
      </c>
      <c r="AJ45" s="611" t="s">
        <v>525</v>
      </c>
      <c r="AK45" s="611"/>
      <c r="AL45" s="611"/>
      <c r="AM45" s="612"/>
      <c r="AO45" s="608"/>
      <c r="AP45" s="608"/>
      <c r="AQ45" s="608"/>
      <c r="AR45" s="608"/>
      <c r="AS45" s="608" t="s">
        <v>299</v>
      </c>
      <c r="AT45" s="608"/>
      <c r="AU45" s="608"/>
      <c r="AV45" s="608"/>
      <c r="AW45" s="608" t="s">
        <v>299</v>
      </c>
      <c r="AX45" s="609"/>
      <c r="CS45" s="592"/>
      <c r="CT45" s="592"/>
      <c r="CU45" s="592"/>
      <c r="CV45" s="592"/>
      <c r="CW45" s="592"/>
      <c r="DK45" s="592">
        <v>43</v>
      </c>
      <c r="DL45" s="592">
        <f t="shared" si="10"/>
        <v>1</v>
      </c>
      <c r="DM45" s="626" t="str">
        <f t="shared" si="5"/>
        <v/>
      </c>
      <c r="DN45" s="623">
        <f t="shared" si="6"/>
        <v>0</v>
      </c>
      <c r="DO45" s="592" t="str">
        <f t="shared" si="8"/>
        <v/>
      </c>
    </row>
    <row r="46" spans="1:119">
      <c r="T46" s="597" t="str">
        <f t="shared" si="0"/>
        <v xml:space="preserve">2 kWh - SMA SB 3600 SmartEnergy </v>
      </c>
      <c r="U46" s="589" t="s">
        <v>342</v>
      </c>
      <c r="V46" s="600" t="s">
        <v>449</v>
      </c>
      <c r="W46" s="600" t="s">
        <v>389</v>
      </c>
      <c r="X46" s="600">
        <v>2.2000000000000002</v>
      </c>
      <c r="Y46" s="600">
        <v>2</v>
      </c>
      <c r="Z46" s="600">
        <v>1.5</v>
      </c>
      <c r="AA46" s="600">
        <v>1.5</v>
      </c>
      <c r="AB46" s="589" t="s">
        <v>471</v>
      </c>
      <c r="AC46" s="589" t="s">
        <v>471</v>
      </c>
      <c r="AG46" s="600" t="s">
        <v>356</v>
      </c>
      <c r="AI46" s="589" t="s">
        <v>93</v>
      </c>
      <c r="AJ46" s="611" t="s">
        <v>473</v>
      </c>
      <c r="AK46" s="611"/>
      <c r="AL46" s="611"/>
      <c r="AM46" s="612"/>
      <c r="AO46" s="609"/>
      <c r="AP46" s="609" t="s">
        <v>299</v>
      </c>
      <c r="AQ46" s="608"/>
      <c r="AR46" s="608"/>
      <c r="AS46" s="608"/>
      <c r="AT46" s="608"/>
      <c r="AU46" s="608"/>
      <c r="AV46" s="608"/>
      <c r="AW46" s="608"/>
      <c r="AX46" s="608"/>
      <c r="AY46" s="599"/>
      <c r="CS46" s="592"/>
      <c r="CT46" s="592"/>
      <c r="CU46" s="592"/>
      <c r="CV46" s="592"/>
      <c r="CW46" s="592"/>
      <c r="DK46" s="592">
        <v>44</v>
      </c>
      <c r="DL46" s="592">
        <f t="shared" si="10"/>
        <v>1</v>
      </c>
      <c r="DM46" s="626" t="str">
        <f t="shared" si="5"/>
        <v/>
      </c>
      <c r="DN46" s="623">
        <f t="shared" si="6"/>
        <v>0</v>
      </c>
      <c r="DO46" s="592" t="str">
        <f t="shared" si="8"/>
        <v/>
      </c>
    </row>
    <row r="47" spans="1:119">
      <c r="T47" s="597" t="str">
        <f t="shared" si="0"/>
        <v xml:space="preserve">2 kWh - SMA SB 5000 SmartEnergy </v>
      </c>
      <c r="U47" s="589" t="s">
        <v>342</v>
      </c>
      <c r="V47" s="600" t="s">
        <v>450</v>
      </c>
      <c r="W47" s="600" t="s">
        <v>389</v>
      </c>
      <c r="X47" s="600">
        <v>2.2000000000000002</v>
      </c>
      <c r="Y47" s="600">
        <v>2</v>
      </c>
      <c r="Z47" s="600">
        <v>1.5</v>
      </c>
      <c r="AA47" s="600">
        <v>1.5</v>
      </c>
      <c r="AB47" s="589" t="s">
        <v>471</v>
      </c>
      <c r="AC47" s="589" t="s">
        <v>471</v>
      </c>
      <c r="AG47" s="600" t="s">
        <v>356</v>
      </c>
      <c r="AI47" s="589" t="s">
        <v>93</v>
      </c>
      <c r="AJ47" s="611" t="s">
        <v>473</v>
      </c>
      <c r="AK47" s="611"/>
      <c r="AL47" s="611"/>
      <c r="AM47" s="612"/>
      <c r="AO47" s="609"/>
      <c r="AP47" s="609" t="s">
        <v>299</v>
      </c>
      <c r="AQ47" s="608"/>
      <c r="AR47" s="608"/>
      <c r="AS47" s="608"/>
      <c r="AT47" s="608"/>
      <c r="AU47" s="608"/>
      <c r="AV47" s="608"/>
      <c r="AW47" s="608"/>
      <c r="AX47" s="608"/>
      <c r="AY47" s="599"/>
      <c r="CS47" s="592"/>
      <c r="CT47" s="592"/>
      <c r="CU47" s="592"/>
      <c r="CV47" s="592"/>
      <c r="CW47" s="592"/>
      <c r="DK47" s="592">
        <v>45</v>
      </c>
      <c r="DL47" s="592">
        <f t="shared" si="10"/>
        <v>1</v>
      </c>
      <c r="DM47" s="626" t="str">
        <f t="shared" si="5"/>
        <v/>
      </c>
      <c r="DN47" s="623">
        <f t="shared" si="6"/>
        <v>0</v>
      </c>
      <c r="DO47" s="592" t="str">
        <f t="shared" si="8"/>
        <v/>
      </c>
    </row>
    <row r="48" spans="1:119" ht="15.75">
      <c r="T48" s="597"/>
      <c r="U48" s="600"/>
      <c r="AD48" s="607"/>
      <c r="AE48" s="607"/>
      <c r="AF48" s="607"/>
      <c r="AG48" s="607"/>
      <c r="AH48" s="607"/>
      <c r="AO48" s="608"/>
      <c r="AP48" s="608"/>
      <c r="AQ48" s="608"/>
      <c r="AR48" s="608"/>
      <c r="AS48" s="608"/>
      <c r="AT48" s="608"/>
      <c r="AU48" s="608"/>
      <c r="AV48" s="608"/>
      <c r="AW48" s="608"/>
      <c r="AX48" s="609"/>
      <c r="AY48" s="599"/>
      <c r="CX48" s="589"/>
      <c r="CY48" s="589"/>
      <c r="DK48" s="592">
        <v>46</v>
      </c>
      <c r="DL48" s="592">
        <f t="shared" si="10"/>
        <v>1</v>
      </c>
      <c r="DM48" s="626" t="str">
        <f t="shared" si="5"/>
        <v/>
      </c>
      <c r="DN48" s="623">
        <f t="shared" si="6"/>
        <v>0</v>
      </c>
      <c r="DO48" s="592" t="str">
        <f t="shared" si="8"/>
        <v/>
      </c>
    </row>
    <row r="49" spans="1:119">
      <c r="T49" s="597"/>
      <c r="AB49" s="598"/>
      <c r="AC49" s="598"/>
      <c r="AD49" s="598"/>
      <c r="AE49" s="598"/>
      <c r="AG49" s="600"/>
      <c r="AH49" s="600"/>
      <c r="AJ49" s="611"/>
      <c r="AK49" s="611"/>
      <c r="AL49" s="611"/>
      <c r="AM49" s="612"/>
      <c r="AO49" s="608"/>
      <c r="AP49" s="608"/>
      <c r="AQ49" s="608"/>
      <c r="AR49" s="608"/>
      <c r="AS49" s="608"/>
      <c r="AT49" s="608"/>
      <c r="AU49" s="608"/>
      <c r="AV49" s="608"/>
      <c r="AW49" s="608"/>
      <c r="AX49" s="609"/>
      <c r="AY49" s="599"/>
      <c r="CX49" s="589"/>
      <c r="CY49" s="589"/>
      <c r="DK49" s="592">
        <v>47</v>
      </c>
      <c r="DL49" s="592">
        <f t="shared" si="10"/>
        <v>1</v>
      </c>
      <c r="DM49" s="626" t="str">
        <f t="shared" si="5"/>
        <v/>
      </c>
      <c r="DN49" s="623">
        <f t="shared" si="6"/>
        <v>0</v>
      </c>
      <c r="DO49" s="592" t="str">
        <f t="shared" si="8"/>
        <v/>
      </c>
    </row>
    <row r="50" spans="1:119">
      <c r="AD50" s="608"/>
      <c r="AO50" s="608"/>
      <c r="AP50" s="608"/>
      <c r="AQ50" s="608"/>
      <c r="AR50" s="608"/>
      <c r="AS50" s="608"/>
      <c r="AT50" s="608"/>
      <c r="AU50" s="608"/>
      <c r="AV50" s="608"/>
      <c r="AW50" s="608"/>
      <c r="AX50" s="609"/>
      <c r="CX50" s="589"/>
      <c r="CY50" s="589"/>
      <c r="DK50" s="592">
        <v>48</v>
      </c>
      <c r="DL50" s="592">
        <f t="shared" si="10"/>
        <v>1</v>
      </c>
      <c r="DM50" s="626" t="str">
        <f t="shared" si="5"/>
        <v/>
      </c>
      <c r="DN50" s="623">
        <f t="shared" si="6"/>
        <v>0</v>
      </c>
      <c r="DO50" s="592" t="str">
        <f t="shared" si="8"/>
        <v/>
      </c>
    </row>
    <row r="51" spans="1:119">
      <c r="AD51" s="608"/>
      <c r="AO51" s="608"/>
      <c r="AP51" s="608"/>
      <c r="AQ51" s="608"/>
      <c r="AR51" s="608"/>
      <c r="AS51" s="608"/>
      <c r="AT51" s="608"/>
      <c r="AU51" s="608"/>
      <c r="AV51" s="608"/>
      <c r="AW51" s="608"/>
      <c r="AX51" s="608"/>
      <c r="CX51" s="589"/>
      <c r="CY51" s="589"/>
      <c r="DK51" s="592">
        <v>49</v>
      </c>
      <c r="DL51" s="592">
        <f t="shared" si="10"/>
        <v>1</v>
      </c>
      <c r="DM51" s="626" t="str">
        <f t="shared" si="5"/>
        <v/>
      </c>
      <c r="DN51" s="623">
        <f t="shared" si="6"/>
        <v>0</v>
      </c>
      <c r="DO51" s="592" t="str">
        <f t="shared" si="8"/>
        <v/>
      </c>
    </row>
    <row r="52" spans="1:119">
      <c r="AD52" s="608"/>
      <c r="DK52" s="592">
        <v>50</v>
      </c>
      <c r="DL52" s="592">
        <f t="shared" si="10"/>
        <v>1</v>
      </c>
      <c r="DM52" s="626" t="str">
        <f t="shared" si="5"/>
        <v/>
      </c>
      <c r="DN52" s="623">
        <f t="shared" si="6"/>
        <v>0</v>
      </c>
      <c r="DO52" s="592" t="str">
        <f t="shared" si="8"/>
        <v/>
      </c>
    </row>
    <row r="53" spans="1:119">
      <c r="AD53" s="608"/>
      <c r="DK53" s="592">
        <v>51</v>
      </c>
      <c r="DL53" s="592">
        <f t="shared" si="10"/>
        <v>1</v>
      </c>
      <c r="DM53" s="626" t="str">
        <f t="shared" si="5"/>
        <v/>
      </c>
      <c r="DN53" s="623">
        <f t="shared" si="6"/>
        <v>0</v>
      </c>
      <c r="DO53" s="592" t="str">
        <f t="shared" si="8"/>
        <v/>
      </c>
    </row>
    <row r="54" spans="1:119">
      <c r="DK54" s="592">
        <v>52</v>
      </c>
      <c r="DL54" s="592">
        <f t="shared" si="10"/>
        <v>1</v>
      </c>
      <c r="DM54" s="626" t="str">
        <f t="shared" si="5"/>
        <v/>
      </c>
      <c r="DN54" s="623">
        <f t="shared" si="6"/>
        <v>0</v>
      </c>
      <c r="DO54" s="592" t="str">
        <f t="shared" si="8"/>
        <v/>
      </c>
    </row>
    <row r="55" spans="1:119">
      <c r="DK55" s="592">
        <v>53</v>
      </c>
      <c r="DL55" s="592">
        <f t="shared" si="10"/>
        <v>1</v>
      </c>
      <c r="DM55" s="626" t="str">
        <f t="shared" si="5"/>
        <v/>
      </c>
      <c r="DN55" s="623">
        <f t="shared" si="6"/>
        <v>0</v>
      </c>
      <c r="DO55" s="592" t="str">
        <f t="shared" si="8"/>
        <v/>
      </c>
    </row>
    <row r="56" spans="1:119">
      <c r="AX56" s="669"/>
      <c r="DK56" s="592">
        <v>54</v>
      </c>
      <c r="DL56" s="592">
        <f t="shared" si="10"/>
        <v>1</v>
      </c>
      <c r="DM56" s="626" t="str">
        <f t="shared" si="5"/>
        <v/>
      </c>
      <c r="DN56" s="623">
        <f t="shared" si="6"/>
        <v>0</v>
      </c>
      <c r="DO56" s="592" t="str">
        <f t="shared" si="8"/>
        <v/>
      </c>
    </row>
    <row r="57" spans="1:119">
      <c r="DK57" s="592">
        <v>55</v>
      </c>
      <c r="DL57" s="592">
        <f t="shared" si="10"/>
        <v>1</v>
      </c>
      <c r="DM57" s="626" t="str">
        <f t="shared" si="5"/>
        <v/>
      </c>
      <c r="DN57" s="623">
        <f t="shared" si="6"/>
        <v>0</v>
      </c>
      <c r="DO57" s="592" t="str">
        <f t="shared" si="8"/>
        <v/>
      </c>
    </row>
    <row r="58" spans="1:119">
      <c r="DK58" s="592">
        <v>56</v>
      </c>
      <c r="DL58" s="592">
        <f t="shared" si="10"/>
        <v>1</v>
      </c>
      <c r="DM58" s="626" t="str">
        <f t="shared" si="5"/>
        <v/>
      </c>
      <c r="DN58" s="623">
        <f t="shared" si="6"/>
        <v>0</v>
      </c>
      <c r="DO58" s="592" t="str">
        <f t="shared" si="8"/>
        <v/>
      </c>
    </row>
    <row r="59" spans="1:119">
      <c r="DK59" s="592">
        <v>57</v>
      </c>
      <c r="DL59" s="592">
        <f t="shared" si="10"/>
        <v>1</v>
      </c>
      <c r="DM59" s="626" t="str">
        <f t="shared" si="5"/>
        <v/>
      </c>
      <c r="DN59" s="623">
        <f t="shared" si="6"/>
        <v>0</v>
      </c>
      <c r="DO59" s="592" t="str">
        <f t="shared" si="8"/>
        <v/>
      </c>
    </row>
    <row r="60" spans="1:119">
      <c r="T60" s="597"/>
      <c r="DK60" s="592">
        <v>58</v>
      </c>
      <c r="DL60" s="592">
        <f t="shared" si="10"/>
        <v>1</v>
      </c>
      <c r="DM60" s="626" t="str">
        <f t="shared" si="5"/>
        <v/>
      </c>
      <c r="DN60" s="623">
        <f t="shared" si="6"/>
        <v>0</v>
      </c>
      <c r="DO60" s="592" t="str">
        <f t="shared" si="8"/>
        <v/>
      </c>
    </row>
    <row r="61" spans="1:119">
      <c r="T61" s="597"/>
      <c r="DM61" s="626"/>
    </row>
    <row r="62" spans="1:119">
      <c r="T62" s="597"/>
    </row>
    <row r="63" spans="1:119">
      <c r="T63" s="597"/>
    </row>
    <row r="64" spans="1:119">
      <c r="A64" s="589" t="s">
        <v>313</v>
      </c>
      <c r="T64" s="597"/>
    </row>
    <row r="65" spans="1:20">
      <c r="A65" s="602" t="s">
        <v>380</v>
      </c>
      <c r="B65" s="629" t="s">
        <v>419</v>
      </c>
      <c r="T65" s="597"/>
    </row>
    <row r="66" spans="1:20">
      <c r="A66" s="602" t="s">
        <v>405</v>
      </c>
      <c r="B66" s="629" t="s">
        <v>421</v>
      </c>
    </row>
    <row r="67" spans="1:20">
      <c r="A67" s="606" t="s">
        <v>389</v>
      </c>
      <c r="B67" s="629" t="s">
        <v>423</v>
      </c>
    </row>
    <row r="68" spans="1:20">
      <c r="A68" s="602" t="s">
        <v>425</v>
      </c>
      <c r="B68" s="629" t="s">
        <v>426</v>
      </c>
    </row>
    <row r="69" spans="1:20">
      <c r="A69" s="602" t="s">
        <v>393</v>
      </c>
      <c r="B69" s="629" t="s">
        <v>427</v>
      </c>
    </row>
    <row r="70" spans="1:20">
      <c r="A70" s="589" t="s">
        <v>526</v>
      </c>
      <c r="B70" s="589" t="s">
        <v>527</v>
      </c>
    </row>
  </sheetData>
  <sheetProtection password="F0B6" sheet="1" objects="1" scenarios="1" selectLockedCells="1"/>
  <autoFilter ref="S2:AY2">
    <sortState ref="S3:AY48">
      <sortCondition ref="U2"/>
    </sortState>
  </autoFilter>
  <mergeCells count="2">
    <mergeCell ref="AZ8:AZ22"/>
    <mergeCell ref="BT8:BT22"/>
  </mergeCells>
  <conditionalFormatting sqref="BB6:BS25">
    <cfRule type="colorScale" priority="7">
      <colorScale>
        <cfvo type="min" val="0"/>
        <cfvo type="percentile" val="50"/>
        <cfvo type="max" val="0"/>
        <color rgb="FFF8696B"/>
        <color rgb="FFFFEB84"/>
        <color rgb="FF63BE7B"/>
      </colorScale>
    </cfRule>
  </conditionalFormatting>
  <conditionalFormatting sqref="BV6:CS25">
    <cfRule type="colorScale" priority="6">
      <colorScale>
        <cfvo type="min" val="0"/>
        <cfvo type="percentile" val="50"/>
        <cfvo type="max" val="0"/>
        <color rgb="FFF8696B"/>
        <color rgb="FFFFEB84"/>
        <color rgb="FF63BE7B"/>
      </colorScale>
    </cfRule>
  </conditionalFormatting>
  <conditionalFormatting sqref="CV3:CV40">
    <cfRule type="containsErrors" dxfId="3" priority="5">
      <formula>ISERROR(CV3)</formula>
    </cfRule>
  </conditionalFormatting>
  <conditionalFormatting sqref="CU3:CU40">
    <cfRule type="containsErrors" dxfId="2" priority="4">
      <formula>ISERROR(CU3)</formula>
    </cfRule>
  </conditionalFormatting>
  <hyperlinks>
    <hyperlink ref="B67" r:id="rId1" tooltip="Lithium-manganese battery" display="https://en.wikipedia.org/wiki/Lithium-manganese_battery"/>
    <hyperlink ref="B69" r:id="rId2" tooltip="Lithium iron phosphate" display="https://en.wikipedia.org/wiki/Lithium_iron_phosphate"/>
  </hyperlinks>
  <pageMargins left="0.7" right="0.7" top="0.78740157499999996" bottom="0.78740157499999996" header="0.3" footer="0.3"/>
  <pageSetup paperSize="9" orientation="portrait"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13</vt:i4>
      </vt:variant>
    </vt:vector>
  </HeadingPairs>
  <TitlesOfParts>
    <vt:vector size="19" baseType="lpstr">
      <vt:lpstr>Solarwärme</vt:lpstr>
      <vt:lpstr>Solarstrom</vt:lpstr>
      <vt:lpstr>Auslegung Stromspeicher</vt:lpstr>
      <vt:lpstr>Energiewende</vt:lpstr>
      <vt:lpstr>Tabelle1</vt:lpstr>
      <vt:lpstr>Daten</vt:lpstr>
      <vt:lpstr>'Auslegung Stromspeicher'!Druckbereich</vt:lpstr>
      <vt:lpstr>Energiewende!Druckbereich</vt:lpstr>
      <vt:lpstr>Solarstrom!Druckbereich</vt:lpstr>
      <vt:lpstr>Solarwärme!Druckbereich</vt:lpstr>
      <vt:lpstr>Solarwärme!Liste1</vt:lpstr>
      <vt:lpstr>Liste12</vt:lpstr>
      <vt:lpstr>Liste2</vt:lpstr>
      <vt:lpstr>Liste3</vt:lpstr>
      <vt:lpstr>Liste4</vt:lpstr>
      <vt:lpstr>Liste5</vt:lpstr>
      <vt:lpstr>liste6</vt:lpstr>
      <vt:lpstr>liste7</vt:lpstr>
      <vt:lpstr>ListePakete</vt:lpstr>
    </vt:vector>
  </TitlesOfParts>
  <Company>Wagner &amp; Co. Solartechnik GmbH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Helgo Schütze</dc:creator>
  <cp:lastModifiedBy>Helgo Schütze</cp:lastModifiedBy>
  <cp:lastPrinted>2016-09-07T09:51:21Z</cp:lastPrinted>
  <dcterms:created xsi:type="dcterms:W3CDTF">2016-07-28T11:27:28Z</dcterms:created>
  <dcterms:modified xsi:type="dcterms:W3CDTF">2016-10-24T06:11:49Z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None</vt:lpwstr>
  </property>
</Properties>
</file>